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800" tabRatio="440"/>
  </bookViews>
  <sheets>
    <sheet name="X-R" sheetId="3" r:id="rId1"/>
    <sheet name="CPK" sheetId="4" r:id="rId2"/>
    <sheet name="GASKET" sheetId="5" r:id="rId3"/>
    <sheet name="常数＆公式" sheetId="10" r:id="rId4"/>
    <sheet name="正態分佈" sheetId="11" r:id="rId5"/>
    <sheet name="選用程序" sheetId="15" r:id="rId6"/>
  </sheets>
  <calcPr calcId="191029"/>
  <customWorkbookViews>
    <customWorkbookView name="Alpha.guo--Review" guid="{754FC85E-76B5-484D-837B-A1CDE300AC8C}" maximized="1" windowWidth="796" windowHeight="40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만족한 Microsoft Office 사용자</author>
  </authors>
  <commentList>
    <comment ref="BI5" authorId="0">
      <text>
        <r>
          <rPr>
            <sz val="9"/>
            <rFont val="굴림"/>
            <charset val="0"/>
          </rPr>
          <t>수식을 변환하지 못했습니다.</t>
        </r>
      </text>
    </comment>
    <comment ref="E32" authorId="0">
      <text>
        <r>
          <rPr>
            <sz val="9"/>
            <rFont val="굴림"/>
            <charset val="0"/>
          </rPr>
          <t>수식을 변환하지 못했습니다.</t>
        </r>
      </text>
    </comment>
    <comment ref="H32" authorId="0">
      <text>
        <r>
          <rPr>
            <sz val="9"/>
            <rFont val="굴림"/>
            <charset val="0"/>
          </rPr>
          <t>수식을 변환하지 못했습니다.</t>
        </r>
      </text>
    </comment>
    <comment ref="K32" authorId="0">
      <text>
        <r>
          <rPr>
            <sz val="9"/>
            <rFont val="굴림"/>
            <charset val="0"/>
          </rPr>
          <t>수식을 변환하지 못했습니다.</t>
        </r>
      </text>
    </comment>
    <comment ref="E33" authorId="0">
      <text>
        <r>
          <rPr>
            <sz val="9"/>
            <rFont val="굴림"/>
            <charset val="0"/>
          </rPr>
          <t>수식을 변환하지 못했습니다.</t>
        </r>
      </text>
    </comment>
    <comment ref="P65" authorId="0">
      <text>
        <r>
          <rPr>
            <sz val="9"/>
            <rFont val="굴림"/>
            <charset val="0"/>
          </rPr>
          <t>수식을 변환하지 못했습니다.</t>
        </r>
      </text>
    </comment>
    <comment ref="P66" authorId="0">
      <text>
        <r>
          <rPr>
            <sz val="9"/>
            <rFont val="굴림"/>
            <charset val="0"/>
          </rPr>
          <t>수식을 변환하지 못했습니다.</t>
        </r>
      </text>
    </comment>
  </commentList>
</comments>
</file>

<file path=xl/sharedStrings.xml><?xml version="1.0" encoding="utf-8"?>
<sst xmlns="http://schemas.openxmlformats.org/spreadsheetml/2006/main" count="341" uniqueCount="257">
  <si>
    <t xml:space="preserve"> X</t>
  </si>
  <si>
    <t>—</t>
  </si>
  <si>
    <t>R</t>
  </si>
  <si>
    <t xml:space="preserve"> </t>
  </si>
  <si>
    <t>控制图</t>
  </si>
  <si>
    <t>控制图编号：</t>
  </si>
  <si>
    <t>产品
名称</t>
  </si>
  <si>
    <t>左/右制动器底板</t>
  </si>
  <si>
    <t>规格</t>
  </si>
  <si>
    <t>标准</t>
  </si>
  <si>
    <t>群组数大小</t>
  </si>
  <si>
    <t>管   制</t>
  </si>
  <si>
    <t>X    图</t>
  </si>
  <si>
    <t>图</t>
  </si>
  <si>
    <t>部门</t>
  </si>
  <si>
    <t>质量部</t>
  </si>
  <si>
    <t>时间</t>
  </si>
  <si>
    <t>上限 USL</t>
  </si>
  <si>
    <t>上限 UCL</t>
  </si>
  <si>
    <t>管制项目</t>
  </si>
  <si>
    <t>冲孔(同轴度)</t>
  </si>
  <si>
    <t>中心限CL</t>
  </si>
  <si>
    <t>总组数</t>
  </si>
  <si>
    <t>级别</t>
  </si>
  <si>
    <t>抽样方法</t>
  </si>
  <si>
    <t>随机</t>
  </si>
  <si>
    <t>测量单位</t>
  </si>
  <si>
    <t>mm</t>
  </si>
  <si>
    <t>下限 LSL</t>
  </si>
  <si>
    <t>下限 LCL</t>
  </si>
  <si>
    <t>测定者</t>
  </si>
  <si>
    <t>日 期</t>
  </si>
  <si>
    <t>2011.10.11</t>
  </si>
  <si>
    <t>日期/</t>
  </si>
  <si>
    <t>合　　　計</t>
  </si>
  <si>
    <t>批</t>
  </si>
  <si>
    <t>號</t>
  </si>
  <si>
    <t>ΣＸ＝</t>
  </si>
  <si>
    <t>样</t>
  </si>
  <si>
    <t>ΣＲ＝</t>
  </si>
  <si>
    <t>本</t>
  </si>
  <si>
    <t>測</t>
  </si>
  <si>
    <t>量測数值的判定条件</t>
  </si>
  <si>
    <t>定</t>
  </si>
  <si>
    <t>&gt;  USL  蓝色</t>
  </si>
  <si>
    <t>值</t>
  </si>
  <si>
    <t>&lt;  LSL  红色</t>
  </si>
  <si>
    <t xml:space="preserve">   Ｎ＝</t>
  </si>
  <si>
    <t>ΣＸ</t>
  </si>
  <si>
    <t xml:space="preserve">     平  　均</t>
  </si>
  <si>
    <t>Ｘ</t>
  </si>
  <si>
    <t>Ｘ＝</t>
  </si>
  <si>
    <t>R=</t>
  </si>
  <si>
    <t>x</t>
  </si>
  <si>
    <t>預估不良率 (PPM)</t>
  </si>
  <si>
    <t>管制图</t>
  </si>
  <si>
    <t>製程能力分析</t>
  </si>
  <si>
    <t xml:space="preserve"> Std.Dev.=</t>
  </si>
  <si>
    <t xml:space="preserve"> Sigma  =</t>
  </si>
  <si>
    <t>ＰＰＫ=</t>
  </si>
  <si>
    <t xml:space="preserve">   PP =</t>
  </si>
  <si>
    <t xml:space="preserve"> Ca =</t>
  </si>
  <si>
    <t>ＣＰＫ=</t>
  </si>
  <si>
    <t xml:space="preserve">   CP =</t>
  </si>
  <si>
    <t>Grade =</t>
  </si>
  <si>
    <r>
      <rPr>
        <sz val="12"/>
        <rFont val="新細明體"/>
        <charset val="136"/>
      </rPr>
      <t>备注及原因追查</t>
    </r>
    <r>
      <rPr>
        <sz val="12"/>
        <rFont val="Arial"/>
        <charset val="136"/>
      </rPr>
      <t>:</t>
    </r>
  </si>
  <si>
    <t>n</t>
  </si>
  <si>
    <t>d2</t>
  </si>
  <si>
    <t>D3</t>
  </si>
  <si>
    <t>D4</t>
  </si>
  <si>
    <t>A2</t>
  </si>
  <si>
    <t>X</t>
  </si>
  <si>
    <t>UCL</t>
  </si>
  <si>
    <t>CL</t>
  </si>
  <si>
    <t>LCL</t>
  </si>
  <si>
    <t>USL</t>
  </si>
  <si>
    <t>LSL</t>
  </si>
  <si>
    <t>製  程  能  力  分  析  (Capabilities)</t>
  </si>
  <si>
    <t>&lt;</t>
  </si>
  <si>
    <t>部 門:</t>
  </si>
  <si>
    <t>制造部</t>
  </si>
  <si>
    <t>機 台:</t>
  </si>
  <si>
    <t>JC21-160</t>
  </si>
  <si>
    <t>操 作 者:</t>
  </si>
  <si>
    <t>日 期:</t>
  </si>
  <si>
    <t>料 號:</t>
  </si>
  <si>
    <t>&gt;=</t>
  </si>
  <si>
    <t>Range</t>
  </si>
  <si>
    <t>組界</t>
  </si>
  <si>
    <t>頻率</t>
  </si>
  <si>
    <t>Normal</t>
  </si>
  <si>
    <t>總組數 (Sub Group)</t>
  </si>
  <si>
    <t>總數 (Count)</t>
  </si>
  <si>
    <t>平均值 (Average)</t>
  </si>
  <si>
    <t>最小值 (Minimum)</t>
  </si>
  <si>
    <t>最大值 (Maximum)</t>
  </si>
  <si>
    <t>中位數 (Median)</t>
  </si>
  <si>
    <t>群組數大小(n)</t>
  </si>
  <si>
    <t>規格上限 USL</t>
  </si>
  <si>
    <t>規格下限 LSL</t>
  </si>
  <si>
    <t>管制上限UCL (X)</t>
  </si>
  <si>
    <t>管制下限LCL (X)</t>
  </si>
  <si>
    <t>其他</t>
  </si>
  <si>
    <t>標準差 (Std.Dev.)</t>
  </si>
  <si>
    <t>標準差 (Sigma Hat)</t>
  </si>
  <si>
    <t>Description</t>
  </si>
  <si>
    <t>Value</t>
  </si>
  <si>
    <t>The limits are calculated as:</t>
  </si>
  <si>
    <t>Minimum</t>
  </si>
  <si>
    <t>Maximum</t>
  </si>
  <si>
    <t>delta</t>
  </si>
  <si>
    <r>
      <rPr>
        <b/>
        <sz val="12"/>
        <rFont val="宋体"/>
        <charset val="134"/>
      </rPr>
      <t>偏度 (</t>
    </r>
    <r>
      <rPr>
        <b/>
        <sz val="10"/>
        <rFont val="宋体"/>
        <charset val="134"/>
      </rPr>
      <t>Skewness</t>
    </r>
    <r>
      <rPr>
        <b/>
        <sz val="12"/>
        <rFont val="宋体"/>
        <charset val="134"/>
      </rPr>
      <t>)</t>
    </r>
  </si>
  <si>
    <t>Sigma</t>
  </si>
  <si>
    <t>Selected</t>
  </si>
  <si>
    <r>
      <rPr>
        <b/>
        <sz val="12"/>
        <rFont val="宋体"/>
        <charset val="134"/>
      </rPr>
      <t>峰度</t>
    </r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(</t>
    </r>
    <r>
      <rPr>
        <b/>
        <sz val="10"/>
        <rFont val="宋体"/>
        <charset val="134"/>
      </rPr>
      <t>Kurtosis</t>
    </r>
    <r>
      <rPr>
        <b/>
        <sz val="12"/>
        <rFont val="宋体"/>
        <charset val="134"/>
      </rPr>
      <t>)</t>
    </r>
  </si>
  <si>
    <t>Mean</t>
  </si>
  <si>
    <t xml:space="preserve">預估不良率〈PPM〉(Out of Spec.) </t>
  </si>
  <si>
    <t>Delta</t>
  </si>
  <si>
    <t>LCL or UCL for  X</t>
  </si>
  <si>
    <t xml:space="preserve">Ca </t>
  </si>
  <si>
    <t>Multiplier</t>
  </si>
  <si>
    <t>LSL or USL</t>
  </si>
  <si>
    <t xml:space="preserve">CPU </t>
  </si>
  <si>
    <t>4*Sig+ Median</t>
  </si>
  <si>
    <t xml:space="preserve">CPL </t>
  </si>
  <si>
    <t xml:space="preserve">Cp </t>
  </si>
  <si>
    <t>Cpk</t>
  </si>
  <si>
    <t xml:space="preserve">TYPE OF TOLERENCE: BOTH SIDE 1,  MAX TOL.3,   MIN TOL 4, </t>
  </si>
  <si>
    <t>B"COLUMN에 INPUT.BEFORE TIME BEFORE DATA DELETE.</t>
  </si>
  <si>
    <t/>
  </si>
  <si>
    <t>PROCESS CAPABILITY STUDY</t>
  </si>
  <si>
    <t>PART NO:</t>
  </si>
  <si>
    <t>P/NO:</t>
  </si>
  <si>
    <t>USL :</t>
  </si>
  <si>
    <t>INSP :</t>
  </si>
  <si>
    <t>PART NAME</t>
  </si>
  <si>
    <t>G/K-GEARSHIFT</t>
  </si>
  <si>
    <t>P/NAME:</t>
  </si>
  <si>
    <t>LSL :</t>
  </si>
  <si>
    <t>DATE :</t>
  </si>
  <si>
    <t>OP.NO</t>
  </si>
  <si>
    <t>PROCESS:</t>
  </si>
  <si>
    <t>TOL :</t>
  </si>
  <si>
    <t>MIN UNIT :</t>
  </si>
  <si>
    <t>CHECK ITEM</t>
  </si>
  <si>
    <t>ITEM:</t>
  </si>
  <si>
    <t>MEAN :</t>
  </si>
  <si>
    <t>Xo :</t>
  </si>
  <si>
    <t>TYPE OF TOL.</t>
  </si>
  <si>
    <t>INSPECTOR</t>
  </si>
  <si>
    <t>DATE</t>
  </si>
  <si>
    <t>UNIT</t>
  </si>
  <si>
    <t xml:space="preserve">   Xo   :</t>
  </si>
  <si>
    <t>DATA NO.1</t>
  </si>
  <si>
    <t>AVG =</t>
  </si>
  <si>
    <t>MIN =</t>
  </si>
  <si>
    <t>MAX =</t>
  </si>
  <si>
    <t>N =</t>
  </si>
  <si>
    <r>
      <rPr>
        <sz val="12"/>
        <color indexed="8"/>
        <rFont val="바탕체"/>
        <charset val="0"/>
      </rPr>
      <t xml:space="preserve">     </t>
    </r>
    <r>
      <rPr>
        <sz val="12"/>
        <color indexed="8"/>
        <rFont val="宋体"/>
        <charset val="134"/>
      </rPr>
      <t>σ</t>
    </r>
    <r>
      <rPr>
        <sz val="12"/>
        <color indexed="8"/>
        <rFont val="바탕체"/>
        <charset val="0"/>
      </rPr>
      <t xml:space="preserve"> = </t>
    </r>
  </si>
  <si>
    <t xml:space="preserve">    Cp =</t>
  </si>
  <si>
    <t xml:space="preserve">   Cpk =</t>
  </si>
  <si>
    <t xml:space="preserve">     k =</t>
  </si>
  <si>
    <t xml:space="preserve">   PC% =</t>
  </si>
  <si>
    <t xml:space="preserve">  PCk% =</t>
  </si>
  <si>
    <t xml:space="preserve">    OUT OF UPPER SPEC =</t>
  </si>
  <si>
    <t xml:space="preserve">  OUT OF LOWER SPEC   =</t>
  </si>
  <si>
    <t xml:space="preserve">             KURTOSIS =</t>
  </si>
  <si>
    <t xml:space="preserve">             SKEWNESS =</t>
  </si>
  <si>
    <r>
      <rPr>
        <sz val="12"/>
        <color indexed="8"/>
        <rFont val="바탕체"/>
        <charset val="0"/>
      </rPr>
      <t xml:space="preserve">   SPREAD RANGE(6</t>
    </r>
    <r>
      <rPr>
        <sz val="12"/>
        <color indexed="8"/>
        <rFont val="宋体"/>
        <charset val="134"/>
      </rPr>
      <t>σ</t>
    </r>
    <r>
      <rPr>
        <sz val="12"/>
        <color indexed="8"/>
        <rFont val="바탕체"/>
        <charset val="0"/>
      </rPr>
      <t>)  =</t>
    </r>
  </si>
  <si>
    <t>~</t>
  </si>
  <si>
    <t>DISTRIBUTION CURVE</t>
  </si>
  <si>
    <t>MAX+SL/2</t>
  </si>
  <si>
    <t>MIN.UNIT</t>
  </si>
  <si>
    <t>X+3s</t>
  </si>
  <si>
    <t>Max</t>
  </si>
  <si>
    <t>US</t>
  </si>
  <si>
    <t>Min</t>
  </si>
  <si>
    <t>MIN-SL/2</t>
  </si>
  <si>
    <t>KIND Q'TYT</t>
  </si>
  <si>
    <t>CLASS Q'TY</t>
  </si>
  <si>
    <t>X-3s</t>
  </si>
  <si>
    <t>GRADE KIND</t>
  </si>
  <si>
    <t>GRADE KIND r</t>
  </si>
  <si>
    <t>LS</t>
  </si>
  <si>
    <t>grade width</t>
  </si>
  <si>
    <t>a</t>
  </si>
  <si>
    <t>b</t>
  </si>
  <si>
    <t>h</t>
  </si>
  <si>
    <t>200끝</t>
  </si>
  <si>
    <t>控制图的常数和公式表</t>
  </si>
  <si>
    <t xml:space="preserve">   Ｘ-Ｒ图   </t>
  </si>
  <si>
    <t xml:space="preserve">   Ｘ-s图   </t>
  </si>
  <si>
    <t>均值Ｘ图</t>
  </si>
  <si>
    <t xml:space="preserve">           全距Ｒ图          </t>
  </si>
  <si>
    <t xml:space="preserve">            标准差Ｓ图          </t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</si>
  <si>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P</t>
    </r>
    <r>
      <rPr>
        <b/>
        <sz val="12"/>
        <rFont val="新細明體"/>
        <charset val="136"/>
      </rPr>
      <t>,LCL</t>
    </r>
    <r>
      <rPr>
        <b/>
        <vertAlign val="subscript"/>
        <sz val="12"/>
        <rFont val="新細明體"/>
        <charset val="136"/>
      </rPr>
      <t xml:space="preserve">P </t>
    </r>
    <r>
      <rPr>
        <b/>
        <sz val="12"/>
        <rFont val="新細明體"/>
        <charset val="136"/>
      </rPr>
      <t>=</t>
    </r>
  </si>
  <si>
    <r>
      <rPr>
        <b/>
        <sz val="12"/>
        <rFont val="新細明體"/>
        <charset val="136"/>
      </rPr>
      <t>P±3√</t>
    </r>
    <r>
      <rPr>
        <b/>
        <vertAlign val="subscript"/>
        <sz val="12"/>
        <rFont val="新細明體"/>
        <charset val="136"/>
      </rPr>
      <t xml:space="preserve">P ( 1 - P ) </t>
    </r>
    <r>
      <rPr>
        <b/>
        <sz val="12"/>
        <rFont val="新細明體"/>
        <charset val="136"/>
      </rPr>
      <t>/√n</t>
    </r>
  </si>
  <si>
    <t>子组容量</t>
  </si>
  <si>
    <t>计算控制限用的系数</t>
  </si>
  <si>
    <t>标准差估计值的除数</t>
  </si>
  <si>
    <t>=</t>
  </si>
  <si>
    <r>
      <rPr>
        <b/>
        <sz val="12"/>
        <rFont val="新細明體"/>
        <charset val="136"/>
      </rPr>
      <t>P±3√</t>
    </r>
    <r>
      <rPr>
        <b/>
        <vertAlign val="subscript"/>
        <sz val="12"/>
        <rFont val="新細明體"/>
        <charset val="136"/>
      </rPr>
      <t xml:space="preserve">P ( 1 - P ) </t>
    </r>
    <r>
      <rPr>
        <b/>
        <sz val="12"/>
        <rFont val="新細明體"/>
        <charset val="136"/>
      </rPr>
      <t>/n</t>
    </r>
  </si>
  <si>
    <r>
      <rPr>
        <b/>
        <sz val="14"/>
        <rFont val="新細明體"/>
        <charset val="136"/>
      </rPr>
      <t>A</t>
    </r>
    <r>
      <rPr>
        <b/>
        <vertAlign val="subscript"/>
        <sz val="14"/>
        <rFont val="新細明體"/>
        <charset val="136"/>
      </rPr>
      <t>2</t>
    </r>
  </si>
  <si>
    <r>
      <rPr>
        <b/>
        <sz val="14"/>
        <rFont val="新細明體"/>
        <charset val="136"/>
      </rPr>
      <t>d</t>
    </r>
    <r>
      <rPr>
        <b/>
        <vertAlign val="subscript"/>
        <sz val="14"/>
        <rFont val="新細明體"/>
        <charset val="136"/>
      </rPr>
      <t>2</t>
    </r>
  </si>
  <si>
    <r>
      <rPr>
        <b/>
        <sz val="14"/>
        <rFont val="新細明體"/>
        <charset val="136"/>
      </rPr>
      <t>D</t>
    </r>
    <r>
      <rPr>
        <b/>
        <vertAlign val="subscript"/>
        <sz val="14"/>
        <rFont val="新細明體"/>
        <charset val="136"/>
      </rPr>
      <t>3</t>
    </r>
  </si>
  <si>
    <r>
      <rPr>
        <b/>
        <sz val="14"/>
        <rFont val="新細明體"/>
        <charset val="136"/>
      </rPr>
      <t>D</t>
    </r>
    <r>
      <rPr>
        <b/>
        <vertAlign val="subscript"/>
        <sz val="14"/>
        <rFont val="新細明體"/>
        <charset val="136"/>
      </rPr>
      <t>4</t>
    </r>
  </si>
  <si>
    <r>
      <rPr>
        <b/>
        <sz val="14"/>
        <rFont val="新細明體"/>
        <charset val="136"/>
      </rPr>
      <t>A</t>
    </r>
    <r>
      <rPr>
        <b/>
        <vertAlign val="subscript"/>
        <sz val="14"/>
        <rFont val="新細明體"/>
        <charset val="136"/>
      </rPr>
      <t>3</t>
    </r>
  </si>
  <si>
    <r>
      <rPr>
        <b/>
        <sz val="14"/>
        <rFont val="新細明體"/>
        <charset val="136"/>
      </rPr>
      <t>c</t>
    </r>
    <r>
      <rPr>
        <b/>
        <vertAlign val="subscript"/>
        <sz val="14"/>
        <rFont val="新細明體"/>
        <charset val="136"/>
      </rPr>
      <t>4</t>
    </r>
  </si>
  <si>
    <r>
      <rPr>
        <b/>
        <sz val="14"/>
        <rFont val="新細明體"/>
        <charset val="136"/>
      </rPr>
      <t>B</t>
    </r>
    <r>
      <rPr>
        <b/>
        <vertAlign val="subscript"/>
        <sz val="14"/>
        <rFont val="新細明體"/>
        <charset val="136"/>
      </rPr>
      <t>3</t>
    </r>
  </si>
  <si>
    <r>
      <rPr>
        <b/>
        <sz val="14"/>
        <rFont val="新細明體"/>
        <charset val="136"/>
      </rPr>
      <t>B</t>
    </r>
    <r>
      <rPr>
        <b/>
        <vertAlign val="subscript"/>
        <sz val="14"/>
        <rFont val="新細明體"/>
        <charset val="136"/>
      </rPr>
      <t>4</t>
    </r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</si>
  <si>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np</t>
    </r>
    <r>
      <rPr>
        <b/>
        <sz val="12"/>
        <rFont val="新細明體"/>
        <charset val="136"/>
      </rPr>
      <t>,LCL</t>
    </r>
    <r>
      <rPr>
        <b/>
        <vertAlign val="subscript"/>
        <sz val="12"/>
        <rFont val="新細明體"/>
        <charset val="136"/>
      </rPr>
      <t xml:space="preserve">np </t>
    </r>
    <r>
      <rPr>
        <b/>
        <sz val="12"/>
        <rFont val="新細明體"/>
        <charset val="136"/>
      </rPr>
      <t>=</t>
    </r>
  </si>
  <si>
    <r>
      <rPr>
        <b/>
        <sz val="12"/>
        <rFont val="新細明體"/>
        <charset val="136"/>
      </rPr>
      <t>nP±3√n</t>
    </r>
    <r>
      <rPr>
        <b/>
        <vertAlign val="subscript"/>
        <sz val="12"/>
        <rFont val="新細明體"/>
        <charset val="136"/>
      </rPr>
      <t xml:space="preserve">P ( 1 - P ) </t>
    </r>
  </si>
  <si>
    <t>-</t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</si>
  <si>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C</t>
    </r>
    <r>
      <rPr>
        <b/>
        <sz val="12"/>
        <rFont val="新細明體"/>
        <charset val="136"/>
      </rPr>
      <t>,LCL</t>
    </r>
    <r>
      <rPr>
        <b/>
        <vertAlign val="subscript"/>
        <sz val="12"/>
        <rFont val="新細明體"/>
        <charset val="136"/>
      </rPr>
      <t xml:space="preserve">C </t>
    </r>
    <r>
      <rPr>
        <b/>
        <sz val="12"/>
        <rFont val="新細明體"/>
        <charset val="136"/>
      </rPr>
      <t>=</t>
    </r>
  </si>
  <si>
    <r>
      <rPr>
        <b/>
        <sz val="12"/>
        <rFont val="新細明體"/>
        <charset val="136"/>
      </rPr>
      <t>C±3√</t>
    </r>
    <r>
      <rPr>
        <b/>
        <sz val="10"/>
        <rFont val="新細明體"/>
        <charset val="136"/>
      </rPr>
      <t>C</t>
    </r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</si>
  <si>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U</t>
    </r>
    <r>
      <rPr>
        <b/>
        <sz val="12"/>
        <rFont val="新細明體"/>
        <charset val="136"/>
      </rPr>
      <t>,LCL</t>
    </r>
    <r>
      <rPr>
        <b/>
        <vertAlign val="subscript"/>
        <sz val="12"/>
        <rFont val="新細明體"/>
        <charset val="136"/>
      </rPr>
      <t xml:space="preserve">U </t>
    </r>
    <r>
      <rPr>
        <b/>
        <sz val="12"/>
        <rFont val="新細明體"/>
        <charset val="136"/>
      </rPr>
      <t>=</t>
    </r>
  </si>
  <si>
    <r>
      <rPr>
        <b/>
        <sz val="12"/>
        <rFont val="新細明體"/>
        <charset val="136"/>
      </rPr>
      <t>U±3√</t>
    </r>
    <r>
      <rPr>
        <b/>
        <sz val="10"/>
        <rFont val="新細明體"/>
        <charset val="136"/>
      </rPr>
      <t>U/√n</t>
    </r>
  </si>
  <si>
    <t>Cpk＝( 1 － k ) ｘ Cp 或 MIN {CPU,CPL}</t>
  </si>
  <si>
    <t>Ppk＝( 1 － k ) ｘ Pp 或 MIN {PPU,PPL}</t>
  </si>
  <si>
    <t>单边规格(设计规格)因没有规格上限或下限,没有规格下限 Cp ＝ CPU ＝ Cpk,没有规格上限 Cp ＝ CPL ＝ Cpk</t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</si>
  <si>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X</t>
    </r>
    <r>
      <rPr>
        <b/>
        <sz val="12"/>
        <rFont val="新細明體"/>
        <charset val="136"/>
      </rPr>
      <t>,LCL</t>
    </r>
    <r>
      <rPr>
        <b/>
        <vertAlign val="subscript"/>
        <sz val="12"/>
        <rFont val="新細明體"/>
        <charset val="136"/>
      </rPr>
      <t xml:space="preserve">X </t>
    </r>
    <r>
      <rPr>
        <b/>
        <sz val="12"/>
        <rFont val="新細明體"/>
        <charset val="136"/>
      </rPr>
      <t xml:space="preserve"> =</t>
    </r>
  </si>
  <si>
    <r>
      <rPr>
        <b/>
        <sz val="12"/>
        <rFont val="新細明體"/>
        <charset val="136"/>
      </rPr>
      <t>X±A</t>
    </r>
    <r>
      <rPr>
        <b/>
        <vertAlign val="subscript"/>
        <sz val="12"/>
        <rFont val="新細明體"/>
        <charset val="136"/>
      </rPr>
      <t>2</t>
    </r>
    <r>
      <rPr>
        <b/>
        <sz val="12"/>
        <rFont val="新細明體"/>
        <charset val="136"/>
      </rPr>
      <t>R</t>
    </r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</si>
  <si>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R</t>
    </r>
    <r>
      <rPr>
        <b/>
        <sz val="12"/>
        <rFont val="新細明體"/>
        <charset val="136"/>
      </rPr>
      <t xml:space="preserve"> = D</t>
    </r>
    <r>
      <rPr>
        <b/>
        <vertAlign val="subscript"/>
        <sz val="12"/>
        <rFont val="新細明體"/>
        <charset val="136"/>
      </rPr>
      <t>4</t>
    </r>
    <r>
      <rPr>
        <b/>
        <sz val="12"/>
        <rFont val="新細明體"/>
        <charset val="136"/>
      </rPr>
      <t>R</t>
    </r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</si>
  <si>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S</t>
    </r>
    <r>
      <rPr>
        <b/>
        <sz val="12"/>
        <rFont val="新細明體"/>
        <charset val="136"/>
      </rPr>
      <t xml:space="preserve"> = B</t>
    </r>
    <r>
      <rPr>
        <b/>
        <vertAlign val="subscript"/>
        <sz val="12"/>
        <rFont val="新細明體"/>
        <charset val="136"/>
      </rPr>
      <t>4</t>
    </r>
    <r>
      <rPr>
        <b/>
        <sz val="12"/>
        <rFont val="新細明體"/>
        <charset val="136"/>
      </rPr>
      <t>s</t>
    </r>
  </si>
  <si>
    <r>
      <rPr>
        <b/>
        <sz val="12"/>
        <rFont val="新細明體"/>
        <charset val="136"/>
      </rPr>
      <t>LCL</t>
    </r>
    <r>
      <rPr>
        <b/>
        <vertAlign val="subscript"/>
        <sz val="12"/>
        <rFont val="新細明體"/>
        <charset val="136"/>
      </rPr>
      <t>R</t>
    </r>
    <r>
      <rPr>
        <b/>
        <sz val="12"/>
        <rFont val="新細明體"/>
        <charset val="136"/>
      </rPr>
      <t xml:space="preserve"> = D</t>
    </r>
    <r>
      <rPr>
        <b/>
        <vertAlign val="subscript"/>
        <sz val="12"/>
        <rFont val="新細明體"/>
        <charset val="136"/>
      </rPr>
      <t>3</t>
    </r>
    <r>
      <rPr>
        <b/>
        <sz val="12"/>
        <rFont val="新細明體"/>
        <charset val="136"/>
      </rPr>
      <t>R</t>
    </r>
  </si>
  <si>
    <r>
      <rPr>
        <b/>
        <sz val="12"/>
        <rFont val="新細明體"/>
        <charset val="136"/>
      </rPr>
      <t>LCL</t>
    </r>
    <r>
      <rPr>
        <b/>
        <vertAlign val="subscript"/>
        <sz val="12"/>
        <rFont val="新細明體"/>
        <charset val="136"/>
      </rPr>
      <t>S</t>
    </r>
    <r>
      <rPr>
        <b/>
        <sz val="12"/>
        <rFont val="新細明體"/>
        <charset val="136"/>
      </rPr>
      <t xml:space="preserve"> = B</t>
    </r>
    <r>
      <rPr>
        <b/>
        <vertAlign val="subscript"/>
        <sz val="12"/>
        <rFont val="新細明體"/>
        <charset val="136"/>
      </rPr>
      <t>3</t>
    </r>
    <r>
      <rPr>
        <b/>
        <sz val="12"/>
        <rFont val="新細明體"/>
        <charset val="136"/>
      </rPr>
      <t>s</t>
    </r>
  </si>
  <si>
    <r>
      <rPr>
        <b/>
        <sz val="12"/>
        <rFont val="新細明體"/>
        <charset val="136"/>
      </rPr>
      <t>δ=R/D</t>
    </r>
    <r>
      <rPr>
        <b/>
        <vertAlign val="subscript"/>
        <sz val="12"/>
        <rFont val="新細明體"/>
        <charset val="136"/>
      </rPr>
      <t>2</t>
    </r>
  </si>
  <si>
    <r>
      <rPr>
        <b/>
        <sz val="12"/>
        <rFont val="新細明體"/>
        <charset val="136"/>
      </rPr>
      <t>δ= s/c</t>
    </r>
    <r>
      <rPr>
        <b/>
        <vertAlign val="subscript"/>
        <sz val="12"/>
        <rFont val="新細明體"/>
        <charset val="136"/>
      </rPr>
      <t>4</t>
    </r>
  </si>
  <si>
    <t>中位数图</t>
  </si>
  <si>
    <t>單值圖</t>
  </si>
  <si>
    <t>中位数Ｘ图</t>
  </si>
  <si>
    <t>单值Ｘ图</t>
  </si>
  <si>
    <r>
      <rPr>
        <b/>
        <sz val="14"/>
        <rFont val="新細明體"/>
        <charset val="136"/>
      </rPr>
      <t>E</t>
    </r>
    <r>
      <rPr>
        <b/>
        <vertAlign val="subscript"/>
        <sz val="14"/>
        <rFont val="新細明體"/>
        <charset val="136"/>
      </rPr>
      <t>2</t>
    </r>
  </si>
  <si>
    <r>
      <rPr>
        <b/>
        <sz val="12"/>
        <rFont val="新細明體"/>
        <charset val="136"/>
      </rPr>
      <t>X±E</t>
    </r>
    <r>
      <rPr>
        <b/>
        <vertAlign val="subscript"/>
        <sz val="12"/>
        <rFont val="新細明體"/>
        <charset val="136"/>
      </rPr>
      <t>2</t>
    </r>
    <r>
      <rPr>
        <b/>
        <sz val="12"/>
        <rFont val="新細明體"/>
        <charset val="136"/>
      </rPr>
      <t>R</t>
    </r>
  </si>
  <si>
    <r>
      <rPr>
        <b/>
        <sz val="12"/>
        <rFont val="新細明體"/>
        <charset val="136"/>
      </rPr>
      <t>UCL</t>
    </r>
    <r>
      <rPr>
        <b/>
        <vertAlign val="subscript"/>
        <sz val="12"/>
        <rFont val="新細明體"/>
        <charset val="136"/>
      </rPr>
      <t>MR</t>
    </r>
    <r>
      <rPr>
        <b/>
        <sz val="12"/>
        <rFont val="新細明體"/>
        <charset val="136"/>
      </rPr>
      <t xml:space="preserve"> = D</t>
    </r>
    <r>
      <rPr>
        <b/>
        <vertAlign val="subscript"/>
        <sz val="12"/>
        <rFont val="新細明體"/>
        <charset val="136"/>
      </rPr>
      <t>4</t>
    </r>
    <r>
      <rPr>
        <b/>
        <sz val="12"/>
        <rFont val="新細明體"/>
        <charset val="136"/>
      </rPr>
      <t>R</t>
    </r>
  </si>
  <si>
    <r>
      <rPr>
        <b/>
        <sz val="12"/>
        <rFont val="新細明體"/>
        <charset val="136"/>
      </rPr>
      <t>LCL</t>
    </r>
    <r>
      <rPr>
        <b/>
        <vertAlign val="subscript"/>
        <sz val="12"/>
        <rFont val="新細明體"/>
        <charset val="136"/>
      </rPr>
      <t>MR</t>
    </r>
    <r>
      <rPr>
        <b/>
        <sz val="12"/>
        <rFont val="新細明體"/>
        <charset val="136"/>
      </rPr>
      <t xml:space="preserve"> = D</t>
    </r>
    <r>
      <rPr>
        <b/>
        <vertAlign val="subscript"/>
        <sz val="12"/>
        <rFont val="新細明體"/>
        <charset val="136"/>
      </rPr>
      <t>3</t>
    </r>
    <r>
      <rPr>
        <b/>
        <sz val="12"/>
        <rFont val="新細明體"/>
        <charset val="136"/>
      </rPr>
      <t>R</t>
    </r>
  </si>
  <si>
    <r>
      <rPr>
        <b/>
        <sz val="12"/>
        <rFont val="新細明體"/>
        <charset val="136"/>
      </rPr>
      <t>δ=R/d</t>
    </r>
    <r>
      <rPr>
        <b/>
        <vertAlign val="subscript"/>
        <sz val="12"/>
        <rFont val="新細明體"/>
        <charset val="136"/>
      </rPr>
      <t>2</t>
    </r>
  </si>
  <si>
    <r>
      <rPr>
        <b/>
        <sz val="12"/>
        <rFont val="新細明體"/>
        <charset val="136"/>
      </rPr>
      <t>δ= R/d</t>
    </r>
    <r>
      <rPr>
        <b/>
        <vertAlign val="subscript"/>
        <sz val="12"/>
        <rFont val="新細明體"/>
        <charset val="136"/>
      </rPr>
      <t>2</t>
    </r>
  </si>
  <si>
    <t>標準正態分佈</t>
  </si>
  <si>
    <t>Ｐz＝過程輸出超過特殊規定值（如工程規範限）的比例，這個特殊規定值與過程均值相距為z個標準差單位</t>
  </si>
  <si>
    <t>（針對處於統計控制狀態並呈現正態分佈的過程）。如︰Ζ-2.17，則Ｐz＝0.0150或1.5％，在任何實際情況下，</t>
  </si>
  <si>
    <t>該比例為近似值。</t>
  </si>
  <si>
    <t>或</t>
  </si>
  <si>
    <t>∣Ζ∣</t>
  </si>
  <si>
    <t>x.x0</t>
  </si>
  <si>
    <t>x.x1</t>
  </si>
  <si>
    <t>x.x2</t>
  </si>
  <si>
    <t>x.x3</t>
  </si>
  <si>
    <t>x.x4</t>
  </si>
  <si>
    <t>x.x5</t>
  </si>
  <si>
    <t>x.x6</t>
  </si>
  <si>
    <t>x.x7</t>
  </si>
  <si>
    <t>x.x8</t>
  </si>
  <si>
    <t>x.x9</t>
  </si>
  <si>
    <t>控制圖選用程序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</si>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</sst>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0.0_);[Red]\(0.0\)"/>
    <numFmt numFmtId="183" formatCode="0.00000_ "/>
    <numFmt numFmtId="184" formatCode="0.0000_ "/>
    <numFmt numFmtId="185" formatCode="0.000_ "/>
    <numFmt numFmtId="186" formatCode="0.0000"/>
    <numFmt numFmtId="187" formatCode="0.000"/>
    <numFmt numFmtId="188" formatCode="yyyy&quot;년&quot;\ m&quot;월&quot;\ d&quot;일&quot;"/>
    <numFmt numFmtId="189" formatCode="0.0%"/>
    <numFmt numFmtId="190" formatCode="0.00000000"/>
    <numFmt numFmtId="191" formatCode="0.000_);[Red]\(0.000\)"/>
    <numFmt numFmtId="192" formatCode="0_);[Red]\(0\)"/>
    <numFmt numFmtId="193" formatCode="0.0_ "/>
    <numFmt numFmtId="194" formatCode="0.00_);[Red]\(0.00\)"/>
    <numFmt numFmtId="195" formatCode="0.00000_);[Red]\(0.00000\)"/>
    <numFmt numFmtId="196" formatCode="0.00_ "/>
    <numFmt numFmtId="197" formatCode="0_ "/>
    <numFmt numFmtId="198" formatCode="0.0"/>
  </numFmts>
  <fonts count="79">
    <font>
      <sz val="12"/>
      <name val="新細明體"/>
      <charset val="136"/>
    </font>
    <font>
      <b/>
      <sz val="22"/>
      <name val="新細明體"/>
      <charset val="136"/>
    </font>
    <font>
      <sz val="18"/>
      <name val="新細明體"/>
      <charset val="136"/>
    </font>
    <font>
      <b/>
      <sz val="12"/>
      <name val="新細明體"/>
      <charset val="136"/>
    </font>
    <font>
      <b/>
      <sz val="14"/>
      <name val="新細明體"/>
      <charset val="136"/>
    </font>
    <font>
      <b/>
      <sz val="18"/>
      <name val="新細明體"/>
      <charset val="136"/>
    </font>
    <font>
      <b/>
      <u/>
      <sz val="12"/>
      <name val="新細明體"/>
      <charset val="136"/>
    </font>
    <font>
      <b/>
      <sz val="9"/>
      <name val="新細明體"/>
      <charset val="136"/>
    </font>
    <font>
      <sz val="12"/>
      <name val="바탕체"/>
      <charset val="0"/>
    </font>
    <font>
      <sz val="12"/>
      <color indexed="12"/>
      <name val="바탕체"/>
      <charset val="0"/>
    </font>
    <font>
      <b/>
      <u/>
      <sz val="20"/>
      <name val="바탕체"/>
      <charset val="0"/>
    </font>
    <font>
      <sz val="12"/>
      <color indexed="8"/>
      <name val="바탕체"/>
      <charset val="0"/>
    </font>
    <font>
      <sz val="9"/>
      <color indexed="12"/>
      <name val="바탕체"/>
      <charset val="0"/>
    </font>
    <font>
      <b/>
      <u/>
      <sz val="16"/>
      <name val="바탕체"/>
      <charset val="0"/>
    </font>
    <font>
      <sz val="9"/>
      <name val="바탕체"/>
      <charset val="0"/>
    </font>
    <font>
      <sz val="8"/>
      <name val="바탕체"/>
      <charset val="0"/>
    </font>
    <font>
      <sz val="12"/>
      <name val="Arial"/>
      <charset val="0"/>
    </font>
    <font>
      <sz val="12"/>
      <color indexed="9"/>
      <name val="Arial"/>
      <charset val="0"/>
    </font>
    <font>
      <b/>
      <u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u/>
      <sz val="18"/>
      <name val="宋体"/>
      <charset val="134"/>
    </font>
    <font>
      <sz val="22"/>
      <name val="宋体"/>
      <charset val="134"/>
    </font>
    <font>
      <sz val="10"/>
      <color indexed="9"/>
      <name val="Arial"/>
      <charset val="0"/>
    </font>
    <font>
      <sz val="12"/>
      <color indexed="9"/>
      <name val="新細明體"/>
      <charset val="136"/>
    </font>
    <font>
      <b/>
      <sz val="16"/>
      <name val="Arial"/>
      <charset val="0"/>
    </font>
    <font>
      <b/>
      <sz val="18"/>
      <name val="Arial"/>
      <charset val="0"/>
    </font>
    <font>
      <b/>
      <sz val="12"/>
      <name val="Arial"/>
      <charset val="0"/>
    </font>
    <font>
      <u/>
      <sz val="16"/>
      <name val="Arial"/>
      <charset val="0"/>
    </font>
    <font>
      <u/>
      <sz val="12"/>
      <name val="Arial"/>
      <charset val="0"/>
    </font>
    <font>
      <sz val="14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72"/>
      <name val="宋体"/>
      <charset val="134"/>
    </font>
    <font>
      <b/>
      <sz val="10"/>
      <color indexed="9"/>
      <name val="Arial"/>
      <charset val="0"/>
    </font>
    <font>
      <sz val="9"/>
      <color indexed="9"/>
      <name val="Arial"/>
      <charset val="0"/>
    </font>
    <font>
      <sz val="18"/>
      <name val="宋体"/>
      <charset val="134"/>
    </font>
    <font>
      <b/>
      <u/>
      <sz val="12"/>
      <name val="Arial"/>
      <charset val="0"/>
    </font>
    <font>
      <sz val="20"/>
      <name val="Arial"/>
      <charset val="0"/>
    </font>
    <font>
      <b/>
      <sz val="20"/>
      <name val="Arial"/>
      <charset val="0"/>
    </font>
    <font>
      <sz val="9"/>
      <name val="宋体"/>
      <charset val="134"/>
    </font>
    <font>
      <b/>
      <sz val="20"/>
      <name val="宋体"/>
      <charset val="134"/>
    </font>
    <font>
      <sz val="8"/>
      <name val="宋体"/>
      <charset val="134"/>
    </font>
    <font>
      <sz val="12"/>
      <color indexed="12"/>
      <name val="宋体"/>
      <charset val="134"/>
    </font>
    <font>
      <b/>
      <i/>
      <sz val="12"/>
      <name val="宋体"/>
      <charset val="134"/>
    </font>
    <font>
      <b/>
      <sz val="11"/>
      <name val="宋体"/>
      <charset val="134"/>
    </font>
    <font>
      <sz val="10"/>
      <color indexed="12"/>
      <name val="宋体"/>
      <charset val="134"/>
    </font>
    <font>
      <b/>
      <sz val="12"/>
      <color indexed="12"/>
      <name val="宋体"/>
      <charset val="134"/>
    </font>
    <font>
      <u/>
      <sz val="12"/>
      <color indexed="12"/>
      <name val="新細明體"/>
      <charset val="136"/>
    </font>
    <font>
      <u/>
      <sz val="12"/>
      <color indexed="36"/>
      <name val="新細明體"/>
      <charset val="136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b/>
      <vertAlign val="subscript"/>
      <sz val="12"/>
      <name val="新細明體"/>
      <charset val="136"/>
    </font>
    <font>
      <b/>
      <vertAlign val="subscript"/>
      <sz val="14"/>
      <name val="新細明體"/>
      <charset val="136"/>
    </font>
    <font>
      <b/>
      <sz val="10"/>
      <name val="新細明體"/>
      <charset val="136"/>
    </font>
    <font>
      <sz val="12"/>
      <name val="Arial"/>
      <charset val="136"/>
    </font>
    <font>
      <sz val="12"/>
      <color indexed="8"/>
      <name val="宋体"/>
      <charset val="134"/>
    </font>
    <font>
      <b/>
      <sz val="10"/>
      <name val="宋体"/>
      <charset val="134"/>
    </font>
    <font>
      <sz val="9"/>
      <name val="굴림"/>
      <charset val="0"/>
    </font>
  </fonts>
  <fills count="4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lightGray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10" borderId="44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58" fillId="0" borderId="45" applyNumberFormat="0" applyFill="0" applyAlignment="0" applyProtection="0">
      <alignment vertical="center"/>
    </xf>
    <xf numFmtId="0" fontId="59" fillId="0" borderId="4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1" borderId="47" applyNumberFormat="0" applyAlignment="0" applyProtection="0">
      <alignment vertical="center"/>
    </xf>
    <xf numFmtId="0" fontId="61" fillId="12" borderId="48" applyNumberFormat="0" applyAlignment="0" applyProtection="0">
      <alignment vertical="center"/>
    </xf>
    <xf numFmtId="0" fontId="62" fillId="12" borderId="47" applyNumberFormat="0" applyAlignment="0" applyProtection="0">
      <alignment vertical="center"/>
    </xf>
    <xf numFmtId="0" fontId="63" fillId="13" borderId="49" applyNumberFormat="0" applyAlignment="0" applyProtection="0">
      <alignment vertical="center"/>
    </xf>
    <xf numFmtId="0" fontId="64" fillId="0" borderId="50" applyNumberFormat="0" applyFill="0" applyAlignment="0" applyProtection="0">
      <alignment vertical="center"/>
    </xf>
    <xf numFmtId="0" fontId="65" fillId="0" borderId="51" applyNumberFormat="0" applyFill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0" fontId="8" fillId="0" borderId="0"/>
    <xf numFmtId="0" fontId="71" fillId="0" borderId="0"/>
  </cellStyleXfs>
  <cellXfs count="42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2" fontId="3" fillId="0" borderId="0" xfId="0" applyNumberFormat="1" applyFont="1" applyAlignment="1">
      <alignment horizontal="center"/>
    </xf>
    <xf numFmtId="183" fontId="3" fillId="0" borderId="0" xfId="0" applyNumberFormat="1" applyFont="1" applyAlignment="1">
      <alignment horizontal="center"/>
    </xf>
    <xf numFmtId="184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8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54"/>
    <xf numFmtId="0" fontId="8" fillId="0" borderId="0" xfId="54" applyAlignment="1">
      <alignment horizontal="left"/>
    </xf>
    <xf numFmtId="0" fontId="9" fillId="0" borderId="0" xfId="54" applyFont="1" applyAlignment="1" applyProtection="1">
      <alignment horizontal="left"/>
      <protection locked="0"/>
    </xf>
    <xf numFmtId="0" fontId="8" fillId="0" borderId="0" xfId="54" applyAlignment="1" applyProtection="1">
      <alignment horizontal="left"/>
    </xf>
    <xf numFmtId="0" fontId="10" fillId="0" borderId="0" xfId="54" applyFont="1" applyAlignment="1" applyProtection="1">
      <alignment horizontal="centerContinuous"/>
    </xf>
    <xf numFmtId="0" fontId="9" fillId="2" borderId="0" xfId="54" applyFont="1" applyFill="1" applyAlignment="1" applyProtection="1">
      <alignment horizontal="right"/>
    </xf>
    <xf numFmtId="0" fontId="11" fillId="0" borderId="9" xfId="54" applyFont="1" applyBorder="1" applyAlignment="1" applyProtection="1">
      <alignment horizontal="right" vertical="center"/>
    </xf>
    <xf numFmtId="0" fontId="11" fillId="0" borderId="10" xfId="54" applyFont="1" applyBorder="1" applyAlignment="1" applyProtection="1">
      <alignment horizontal="right" vertical="center"/>
    </xf>
    <xf numFmtId="0" fontId="12" fillId="2" borderId="0" xfId="54" applyFont="1" applyFill="1" applyAlignment="1">
      <alignment horizontal="right"/>
    </xf>
    <xf numFmtId="186" fontId="11" fillId="0" borderId="9" xfId="54" applyNumberFormat="1" applyFont="1" applyBorder="1" applyAlignment="1" applyProtection="1">
      <alignment horizontal="center"/>
    </xf>
    <xf numFmtId="187" fontId="8" fillId="0" borderId="0" xfId="54" applyNumberFormat="1"/>
    <xf numFmtId="0" fontId="8" fillId="0" borderId="0" xfId="54" applyAlignment="1" applyProtection="1">
      <alignment horizontal="center"/>
    </xf>
    <xf numFmtId="186" fontId="11" fillId="0" borderId="10" xfId="54" applyNumberFormat="1" applyFont="1" applyBorder="1" applyAlignment="1" applyProtection="1">
      <alignment horizontal="center"/>
    </xf>
    <xf numFmtId="188" fontId="9" fillId="0" borderId="0" xfId="54" applyNumberFormat="1" applyFont="1" applyBorder="1" applyAlignment="1">
      <alignment vertical="center"/>
    </xf>
    <xf numFmtId="0" fontId="11" fillId="0" borderId="10" xfId="54" applyFont="1" applyBorder="1" applyAlignment="1" applyProtection="1">
      <alignment horizontal="center"/>
    </xf>
    <xf numFmtId="0" fontId="9" fillId="2" borderId="0" xfId="54" applyFont="1" applyFill="1" applyAlignment="1" applyProtection="1">
      <alignment horizontal="right"/>
      <protection locked="0"/>
    </xf>
    <xf numFmtId="0" fontId="8" fillId="0" borderId="10" xfId="54" applyBorder="1" applyAlignment="1" applyProtection="1">
      <alignment horizontal="center"/>
    </xf>
    <xf numFmtId="0" fontId="9" fillId="2" borderId="0" xfId="54" applyFont="1" applyFill="1" applyAlignment="1">
      <alignment horizontal="left"/>
    </xf>
    <xf numFmtId="0" fontId="9" fillId="2" borderId="0" xfId="54" applyFont="1" applyFill="1" applyAlignment="1">
      <alignment horizontal="center"/>
    </xf>
    <xf numFmtId="0" fontId="8" fillId="0" borderId="11" xfId="54" applyBorder="1" applyAlignment="1" applyProtection="1">
      <alignment horizontal="center"/>
    </xf>
    <xf numFmtId="0" fontId="11" fillId="0" borderId="9" xfId="54" applyFont="1" applyBorder="1" applyAlignment="1" applyProtection="1">
      <alignment horizontal="right"/>
    </xf>
    <xf numFmtId="0" fontId="11" fillId="0" borderId="10" xfId="54" applyFont="1" applyBorder="1" applyAlignment="1" applyProtection="1">
      <alignment horizontal="left"/>
    </xf>
    <xf numFmtId="0" fontId="11" fillId="0" borderId="10" xfId="54" applyFont="1" applyBorder="1"/>
    <xf numFmtId="0" fontId="11" fillId="0" borderId="10" xfId="54" applyFont="1" applyBorder="1" applyAlignment="1">
      <alignment horizontal="left"/>
    </xf>
    <xf numFmtId="0" fontId="11" fillId="0" borderId="11" xfId="54" applyFont="1" applyBorder="1" applyAlignment="1">
      <alignment horizontal="left"/>
    </xf>
    <xf numFmtId="0" fontId="13" fillId="0" borderId="0" xfId="54" applyFont="1" applyAlignment="1">
      <alignment horizontal="left"/>
    </xf>
    <xf numFmtId="0" fontId="8" fillId="0" borderId="0" xfId="54" applyProtection="1"/>
    <xf numFmtId="0" fontId="8" fillId="0" borderId="0" xfId="54" applyAlignment="1">
      <alignment horizontal="centerContinuous"/>
    </xf>
    <xf numFmtId="0" fontId="9" fillId="0" borderId="12" xfId="54" applyFont="1" applyBorder="1" applyAlignment="1">
      <alignment vertical="center"/>
    </xf>
    <xf numFmtId="0" fontId="8" fillId="0" borderId="12" xfId="54" applyBorder="1" applyAlignment="1">
      <alignment vertical="center"/>
    </xf>
    <xf numFmtId="0" fontId="11" fillId="0" borderId="12" xfId="54" applyFont="1" applyBorder="1" applyAlignment="1" applyProtection="1">
      <alignment horizontal="right" vertical="center"/>
    </xf>
    <xf numFmtId="0" fontId="9" fillId="0" borderId="0" xfId="54" applyFont="1" applyBorder="1" applyAlignment="1">
      <alignment vertical="center"/>
    </xf>
    <xf numFmtId="0" fontId="9" fillId="0" borderId="0" xfId="54" applyFont="1" applyBorder="1" applyAlignment="1" applyProtection="1">
      <alignment vertical="center"/>
      <protection locked="0"/>
    </xf>
    <xf numFmtId="0" fontId="8" fillId="0" borderId="0" xfId="54" applyBorder="1" applyAlignment="1" applyProtection="1">
      <alignment horizontal="left" vertical="center"/>
    </xf>
    <xf numFmtId="0" fontId="11" fillId="0" borderId="0" xfId="54" applyFont="1" applyBorder="1" applyAlignment="1" applyProtection="1">
      <alignment horizontal="right" vertical="center"/>
    </xf>
    <xf numFmtId="186" fontId="8" fillId="0" borderId="12" xfId="54" applyNumberFormat="1" applyBorder="1" applyAlignment="1" applyProtection="1">
      <alignment horizontal="center"/>
    </xf>
    <xf numFmtId="186" fontId="8" fillId="0" borderId="0" xfId="54" applyNumberFormat="1" applyBorder="1" applyAlignment="1" applyProtection="1">
      <alignment horizontal="center"/>
    </xf>
    <xf numFmtId="0" fontId="8" fillId="0" borderId="0" xfId="54" applyBorder="1" applyAlignment="1" applyProtection="1">
      <alignment horizontal="center"/>
    </xf>
    <xf numFmtId="0" fontId="8" fillId="0" borderId="13" xfId="54" applyBorder="1" applyAlignment="1" applyProtection="1">
      <alignment horizontal="center"/>
    </xf>
    <xf numFmtId="186" fontId="9" fillId="0" borderId="12" xfId="54" applyNumberFormat="1" applyFont="1" applyBorder="1" applyProtection="1"/>
    <xf numFmtId="0" fontId="8" fillId="0" borderId="12" xfId="54" applyBorder="1"/>
    <xf numFmtId="0" fontId="11" fillId="0" borderId="12" xfId="54" applyFont="1" applyBorder="1" applyAlignment="1" applyProtection="1">
      <alignment horizontal="right"/>
    </xf>
    <xf numFmtId="0" fontId="9" fillId="0" borderId="12" xfId="54" applyFont="1" applyBorder="1" applyProtection="1"/>
    <xf numFmtId="186" fontId="9" fillId="0" borderId="0" xfId="54" applyNumberFormat="1" applyFont="1" applyBorder="1" applyProtection="1"/>
    <xf numFmtId="0" fontId="8" fillId="0" borderId="0" xfId="54" applyBorder="1"/>
    <xf numFmtId="0" fontId="11" fillId="0" borderId="0" xfId="54" applyFont="1" applyBorder="1" applyAlignment="1" applyProtection="1">
      <alignment horizontal="right"/>
    </xf>
    <xf numFmtId="2" fontId="9" fillId="0" borderId="0" xfId="54" applyNumberFormat="1" applyFont="1" applyBorder="1" applyProtection="1"/>
    <xf numFmtId="189" fontId="9" fillId="3" borderId="0" xfId="54" applyNumberFormat="1" applyFont="1" applyFill="1" applyBorder="1" applyProtection="1"/>
    <xf numFmtId="10" fontId="9" fillId="0" borderId="0" xfId="3" applyNumberFormat="1" applyFont="1" applyBorder="1" applyAlignment="1">
      <alignment horizontal="left"/>
    </xf>
    <xf numFmtId="2" fontId="9" fillId="0" borderId="0" xfId="54" applyNumberFormat="1" applyFont="1" applyBorder="1" applyAlignment="1" applyProtection="1">
      <alignment horizontal="left"/>
    </xf>
    <xf numFmtId="0" fontId="8" fillId="0" borderId="13" xfId="54" applyBorder="1"/>
    <xf numFmtId="187" fontId="9" fillId="0" borderId="13" xfId="54" applyNumberFormat="1" applyFont="1" applyBorder="1" applyProtection="1"/>
    <xf numFmtId="187" fontId="8" fillId="0" borderId="13" xfId="54" applyNumberFormat="1" applyBorder="1" applyAlignment="1" applyProtection="1">
      <alignment horizontal="center"/>
    </xf>
    <xf numFmtId="186" fontId="8" fillId="0" borderId="0" xfId="54" applyNumberFormat="1" applyProtection="1"/>
    <xf numFmtId="0" fontId="8" fillId="0" borderId="12" xfId="54" applyBorder="1" applyAlignment="1" applyProtection="1">
      <alignment horizontal="left" vertical="center"/>
    </xf>
    <xf numFmtId="14" fontId="9" fillId="0" borderId="0" xfId="54" applyNumberFormat="1" applyFont="1" applyBorder="1" applyAlignment="1">
      <alignment vertical="center"/>
    </xf>
    <xf numFmtId="0" fontId="9" fillId="0" borderId="0" xfId="54" applyFont="1" applyBorder="1" applyAlignment="1" applyProtection="1">
      <alignment vertical="center"/>
    </xf>
    <xf numFmtId="0" fontId="8" fillId="0" borderId="0" xfId="54" applyBorder="1" applyAlignment="1">
      <alignment vertical="center"/>
    </xf>
    <xf numFmtId="0" fontId="11" fillId="0" borderId="0" xfId="54" applyFont="1" applyBorder="1" applyAlignment="1" applyProtection="1">
      <alignment horizontal="right" vertical="center"/>
      <protection locked="0"/>
    </xf>
    <xf numFmtId="0" fontId="11" fillId="0" borderId="0" xfId="54" applyFont="1" applyBorder="1" applyAlignment="1" applyProtection="1">
      <alignment horizontal="center"/>
    </xf>
    <xf numFmtId="2" fontId="8" fillId="0" borderId="0" xfId="54" applyNumberFormat="1" applyBorder="1" applyProtection="1"/>
    <xf numFmtId="2" fontId="11" fillId="0" borderId="0" xfId="54" applyNumberFormat="1" applyFont="1" applyBorder="1" applyAlignment="1" applyProtection="1">
      <alignment horizontal="right"/>
    </xf>
    <xf numFmtId="189" fontId="8" fillId="0" borderId="0" xfId="54" applyNumberFormat="1" applyBorder="1" applyProtection="1"/>
    <xf numFmtId="189" fontId="11" fillId="0" borderId="0" xfId="54" applyNumberFormat="1" applyFont="1" applyBorder="1" applyAlignment="1" applyProtection="1">
      <alignment horizontal="right"/>
    </xf>
    <xf numFmtId="0" fontId="11" fillId="0" borderId="0" xfId="54" applyFont="1" applyBorder="1" applyAlignment="1">
      <alignment horizontal="left"/>
    </xf>
    <xf numFmtId="0" fontId="11" fillId="0" borderId="0" xfId="54" applyFont="1" applyBorder="1" applyAlignment="1" applyProtection="1">
      <alignment horizontal="left"/>
    </xf>
    <xf numFmtId="187" fontId="9" fillId="0" borderId="13" xfId="54" applyNumberFormat="1" applyFont="1" applyBorder="1" applyAlignment="1" applyProtection="1">
      <alignment horizontal="left"/>
    </xf>
    <xf numFmtId="0" fontId="9" fillId="0" borderId="14" xfId="54" applyFont="1" applyBorder="1" applyAlignment="1" applyProtection="1">
      <alignment horizontal="left" vertical="center"/>
      <protection locked="0"/>
    </xf>
    <xf numFmtId="0" fontId="9" fillId="0" borderId="0" xfId="54" applyFont="1" applyProtection="1">
      <protection locked="0"/>
    </xf>
    <xf numFmtId="0" fontId="8" fillId="0" borderId="15" xfId="54" applyBorder="1" applyAlignment="1">
      <alignment vertical="center"/>
    </xf>
    <xf numFmtId="186" fontId="8" fillId="0" borderId="14" xfId="54" applyNumberFormat="1" applyBorder="1" applyAlignment="1" applyProtection="1">
      <alignment horizontal="center"/>
    </xf>
    <xf numFmtId="186" fontId="8" fillId="0" borderId="15" xfId="54" applyNumberFormat="1" applyBorder="1" applyAlignment="1" applyProtection="1">
      <alignment horizontal="center"/>
    </xf>
    <xf numFmtId="0" fontId="8" fillId="0" borderId="15" xfId="54" applyBorder="1" applyAlignment="1" applyProtection="1">
      <alignment horizontal="center"/>
    </xf>
    <xf numFmtId="0" fontId="8" fillId="0" borderId="16" xfId="54" applyBorder="1" applyAlignment="1" applyProtection="1">
      <alignment horizontal="center"/>
    </xf>
    <xf numFmtId="0" fontId="9" fillId="0" borderId="14" xfId="54" applyFont="1" applyBorder="1" applyAlignment="1" applyProtection="1">
      <alignment horizontal="center"/>
    </xf>
    <xf numFmtId="2" fontId="9" fillId="0" borderId="15" xfId="54" applyNumberFormat="1" applyFont="1" applyBorder="1" applyAlignment="1" applyProtection="1">
      <alignment horizontal="center"/>
    </xf>
    <xf numFmtId="0" fontId="8" fillId="0" borderId="15" xfId="54" applyBorder="1"/>
    <xf numFmtId="0" fontId="8" fillId="0" borderId="16" xfId="54" applyBorder="1"/>
    <xf numFmtId="0" fontId="8" fillId="0" borderId="0" xfId="54" applyAlignment="1" applyProtection="1">
      <alignment horizontal="right"/>
    </xf>
    <xf numFmtId="187" fontId="8" fillId="0" borderId="0" xfId="54" applyNumberFormat="1" applyProtection="1"/>
    <xf numFmtId="10" fontId="8" fillId="0" borderId="0" xfId="54" applyNumberFormat="1" applyProtection="1"/>
    <xf numFmtId="0" fontId="14" fillId="0" borderId="0" xfId="54" applyFont="1" applyAlignment="1" applyProtection="1">
      <alignment horizontal="right"/>
    </xf>
    <xf numFmtId="0" fontId="15" fillId="0" borderId="0" xfId="54" applyFont="1" applyAlignment="1" applyProtection="1">
      <alignment horizontal="left"/>
    </xf>
    <xf numFmtId="0" fontId="14" fillId="0" borderId="0" xfId="54" applyFont="1" applyAlignment="1" applyProtection="1">
      <alignment horizontal="left"/>
    </xf>
    <xf numFmtId="2" fontId="8" fillId="0" borderId="0" xfId="54" applyNumberFormat="1" applyProtection="1"/>
    <xf numFmtId="186" fontId="8" fillId="0" borderId="0" xfId="54" applyNumberFormat="1"/>
    <xf numFmtId="190" fontId="8" fillId="0" borderId="0" xfId="54" applyNumberFormat="1" applyProtection="1"/>
    <xf numFmtId="186" fontId="8" fillId="0" borderId="0" xfId="54" applyNumberFormat="1" applyAlignment="1" applyProtection="1">
      <alignment horizontal="left"/>
    </xf>
    <xf numFmtId="0" fontId="16" fillId="0" borderId="0" xfId="55" applyFont="1" applyProtection="1">
      <protection hidden="1"/>
    </xf>
    <xf numFmtId="0" fontId="17" fillId="0" borderId="0" xfId="55" applyFont="1" applyAlignment="1" applyProtection="1">
      <alignment shrinkToFit="1"/>
      <protection hidden="1"/>
    </xf>
    <xf numFmtId="191" fontId="17" fillId="0" borderId="0" xfId="55" applyNumberFormat="1" applyFont="1" applyAlignment="1" applyProtection="1">
      <alignment shrinkToFit="1"/>
      <protection hidden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19" fillId="0" borderId="0" xfId="55" applyFont="1" applyProtection="1">
      <protection locked="0"/>
    </xf>
    <xf numFmtId="0" fontId="20" fillId="0" borderId="1" xfId="0" applyFont="1" applyBorder="1" applyAlignment="1" applyProtection="1">
      <protection locked="0"/>
    </xf>
    <xf numFmtId="0" fontId="19" fillId="4" borderId="2" xfId="55" applyFont="1" applyFill="1" applyBorder="1" applyAlignment="1" applyProtection="1">
      <alignment horizontal="center"/>
      <protection locked="0"/>
    </xf>
    <xf numFmtId="0" fontId="19" fillId="0" borderId="3" xfId="55" applyFont="1" applyBorder="1" applyProtection="1">
      <protection locked="0"/>
    </xf>
    <xf numFmtId="0" fontId="19" fillId="0" borderId="0" xfId="55" applyFont="1" applyBorder="1" applyProtection="1">
      <protection locked="0"/>
    </xf>
    <xf numFmtId="0" fontId="19" fillId="0" borderId="3" xfId="55" applyFont="1" applyBorder="1" applyProtection="1">
      <protection hidden="1"/>
    </xf>
    <xf numFmtId="0" fontId="19" fillId="0" borderId="0" xfId="55" applyFont="1" applyBorder="1" applyProtection="1">
      <protection hidden="1"/>
    </xf>
    <xf numFmtId="0" fontId="21" fillId="0" borderId="3" xfId="55" applyFont="1" applyBorder="1" applyAlignment="1" applyProtection="1">
      <alignment horizontal="center" vertical="center"/>
      <protection hidden="1"/>
    </xf>
    <xf numFmtId="0" fontId="21" fillId="0" borderId="0" xfId="55" applyFont="1" applyBorder="1" applyAlignment="1" applyProtection="1">
      <alignment vertical="center"/>
      <protection hidden="1"/>
    </xf>
    <xf numFmtId="0" fontId="21" fillId="0" borderId="3" xfId="55" applyFont="1" applyFill="1" applyBorder="1" applyAlignment="1" applyProtection="1">
      <alignment horizontal="center" vertical="center"/>
      <protection hidden="1"/>
    </xf>
    <xf numFmtId="0" fontId="21" fillId="0" borderId="0" xfId="55" applyFont="1" applyFill="1" applyBorder="1" applyAlignment="1" applyProtection="1">
      <alignment vertical="center"/>
      <protection hidden="1"/>
    </xf>
    <xf numFmtId="2" fontId="19" fillId="0" borderId="4" xfId="55" applyNumberFormat="1" applyFont="1" applyBorder="1" applyAlignment="1">
      <alignment horizontal="centerContinuous" vertical="center"/>
    </xf>
    <xf numFmtId="0" fontId="21" fillId="0" borderId="5" xfId="55" applyFont="1" applyBorder="1" applyAlignment="1" applyProtection="1">
      <alignment vertical="center"/>
      <protection hidden="1"/>
    </xf>
    <xf numFmtId="0" fontId="22" fillId="0" borderId="0" xfId="55" applyFont="1" applyAlignment="1" applyProtection="1">
      <alignment vertical="center"/>
      <protection hidden="1"/>
    </xf>
    <xf numFmtId="0" fontId="16" fillId="0" borderId="0" xfId="55" applyFont="1" applyAlignment="1" applyProtection="1">
      <alignment vertical="center"/>
      <protection hidden="1"/>
    </xf>
    <xf numFmtId="0" fontId="23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/>
      <protection locked="0"/>
    </xf>
    <xf numFmtId="0" fontId="19" fillId="0" borderId="0" xfId="55" applyFont="1" applyBorder="1" applyAlignment="1" applyProtection="1">
      <alignment vertical="top"/>
      <protection hidden="1"/>
    </xf>
    <xf numFmtId="0" fontId="19" fillId="0" borderId="0" xfId="55" applyFont="1" applyBorder="1" applyAlignment="1" applyProtection="1">
      <alignment vertical="center"/>
      <protection hidden="1"/>
    </xf>
    <xf numFmtId="0" fontId="19" fillId="0" borderId="0" xfId="55" applyFont="1" applyFill="1" applyBorder="1" applyProtection="1">
      <protection hidden="1"/>
    </xf>
    <xf numFmtId="0" fontId="19" fillId="0" borderId="5" xfId="55" applyFont="1" applyBorder="1" applyProtection="1">
      <protection hidden="1"/>
    </xf>
    <xf numFmtId="0" fontId="24" fillId="0" borderId="0" xfId="0" applyFont="1" applyAlignment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16" fillId="0" borderId="0" xfId="55" applyFont="1" applyBorder="1" applyAlignment="1" applyProtection="1">
      <alignment vertical="center"/>
      <protection hidden="1"/>
    </xf>
    <xf numFmtId="0" fontId="19" fillId="0" borderId="15" xfId="55" applyFont="1" applyBorder="1" applyProtection="1">
      <protection hidden="1"/>
    </xf>
    <xf numFmtId="14" fontId="20" fillId="4" borderId="2" xfId="0" applyNumberFormat="1" applyFont="1" applyFill="1" applyBorder="1" applyAlignment="1" applyProtection="1">
      <alignment horizontal="left"/>
      <protection locked="0"/>
    </xf>
    <xf numFmtId="0" fontId="19" fillId="4" borderId="2" xfId="0" applyFont="1" applyFill="1" applyBorder="1" applyAlignment="1" applyProtection="1">
      <protection locked="0"/>
    </xf>
    <xf numFmtId="0" fontId="20" fillId="0" borderId="0" xfId="0" applyFont="1" applyBorder="1" applyAlignment="1" applyProtection="1">
      <alignment horizontal="left"/>
      <protection hidden="1"/>
    </xf>
    <xf numFmtId="0" fontId="20" fillId="0" borderId="0" xfId="55" applyFont="1" applyBorder="1" applyAlignment="1" applyProtection="1">
      <alignment vertical="center"/>
      <protection hidden="1"/>
    </xf>
    <xf numFmtId="0" fontId="20" fillId="0" borderId="0" xfId="0" applyFont="1" applyBorder="1" applyProtection="1">
      <protection hidden="1"/>
    </xf>
    <xf numFmtId="0" fontId="20" fillId="0" borderId="0" xfId="55" applyFont="1" applyFill="1" applyBorder="1" applyProtection="1">
      <protection hidden="1"/>
    </xf>
    <xf numFmtId="0" fontId="20" fillId="0" borderId="0" xfId="55" applyFont="1" applyFill="1" applyBorder="1" applyAlignment="1" applyProtection="1">
      <alignment vertical="center"/>
      <protection hidden="1"/>
    </xf>
    <xf numFmtId="0" fontId="20" fillId="0" borderId="0" xfId="55" applyFont="1" applyBorder="1" applyProtection="1">
      <protection hidden="1"/>
    </xf>
    <xf numFmtId="0" fontId="16" fillId="0" borderId="0" xfId="55" applyFont="1" applyBorder="1" applyProtection="1">
      <protection hidden="1"/>
    </xf>
    <xf numFmtId="0" fontId="20" fillId="0" borderId="2" xfId="55" applyFont="1" applyBorder="1" applyAlignment="1" applyProtection="1">
      <alignment horizontal="center"/>
      <protection locked="0"/>
    </xf>
    <xf numFmtId="0" fontId="20" fillId="0" borderId="0" xfId="55" applyFont="1" applyBorder="1" applyAlignment="1" applyProtection="1">
      <alignment horizontal="right" shrinkToFit="1"/>
      <protection hidden="1"/>
    </xf>
    <xf numFmtId="2" fontId="20" fillId="0" borderId="0" xfId="55" applyNumberFormat="1" applyFont="1" applyBorder="1" applyAlignment="1" applyProtection="1">
      <alignment horizontal="right" shrinkToFit="1"/>
      <protection hidden="1"/>
    </xf>
    <xf numFmtId="0" fontId="20" fillId="0" borderId="0" xfId="55" applyFont="1" applyFill="1" applyBorder="1" applyAlignment="1" applyProtection="1">
      <alignment horizontal="right" vertical="center" shrinkToFit="1"/>
      <protection hidden="1"/>
    </xf>
    <xf numFmtId="192" fontId="20" fillId="0" borderId="0" xfId="55" applyNumberFormat="1" applyFont="1" applyBorder="1" applyAlignment="1" applyProtection="1">
      <alignment horizontal="right" shrinkToFit="1"/>
      <protection hidden="1"/>
    </xf>
    <xf numFmtId="10" fontId="20" fillId="0" borderId="0" xfId="55" applyNumberFormat="1" applyFont="1" applyBorder="1" applyAlignment="1" applyProtection="1">
      <alignment horizontal="right" shrinkToFit="1"/>
      <protection hidden="1"/>
    </xf>
    <xf numFmtId="0" fontId="16" fillId="0" borderId="0" xfId="55" applyFont="1" applyProtection="1"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shrinkToFit="1"/>
      <protection hidden="1"/>
    </xf>
    <xf numFmtId="0" fontId="25" fillId="0" borderId="0" xfId="0" applyFont="1" applyAlignment="1" applyProtection="1">
      <alignment shrinkToFit="1"/>
      <protection hidden="1"/>
    </xf>
    <xf numFmtId="0" fontId="19" fillId="0" borderId="7" xfId="55" applyFont="1" applyBorder="1" applyProtection="1">
      <protection locked="0"/>
    </xf>
    <xf numFmtId="193" fontId="17" fillId="0" borderId="0" xfId="0" applyNumberFormat="1" applyFont="1" applyAlignment="1" applyProtection="1">
      <alignment shrinkToFit="1"/>
      <protection hidden="1"/>
    </xf>
    <xf numFmtId="183" fontId="17" fillId="0" borderId="0" xfId="55" applyNumberFormat="1" applyFont="1" applyAlignment="1" applyProtection="1">
      <alignment shrinkToFit="1"/>
      <protection hidden="1"/>
    </xf>
    <xf numFmtId="0" fontId="19" fillId="0" borderId="7" xfId="0" applyFont="1" applyBorder="1" applyAlignment="1" applyProtection="1">
      <alignment horizontal="center"/>
      <protection hidden="1"/>
    </xf>
    <xf numFmtId="183" fontId="17" fillId="0" borderId="0" xfId="0" applyNumberFormat="1" applyFont="1" applyAlignment="1" applyProtection="1">
      <alignment shrinkToFit="1"/>
      <protection hidden="1"/>
    </xf>
    <xf numFmtId="0" fontId="19" fillId="0" borderId="7" xfId="55" applyFont="1" applyBorder="1" applyProtection="1">
      <protection hidden="1"/>
    </xf>
    <xf numFmtId="0" fontId="19" fillId="0" borderId="7" xfId="55" applyFont="1" applyFill="1" applyBorder="1" applyProtection="1">
      <protection hidden="1"/>
    </xf>
    <xf numFmtId="0" fontId="17" fillId="0" borderId="0" xfId="55" applyFont="1" applyFill="1" applyAlignment="1" applyProtection="1">
      <alignment shrinkToFit="1"/>
      <protection hidden="1"/>
    </xf>
    <xf numFmtId="191" fontId="17" fillId="0" borderId="0" xfId="55" applyNumberFormat="1" applyFont="1" applyFill="1" applyAlignment="1" applyProtection="1">
      <alignment shrinkToFit="1"/>
      <protection hidden="1"/>
    </xf>
    <xf numFmtId="185" fontId="17" fillId="0" borderId="0" xfId="55" applyNumberFormat="1" applyFont="1" applyFill="1" applyAlignment="1" applyProtection="1">
      <alignment shrinkToFit="1"/>
      <protection hidden="1"/>
    </xf>
    <xf numFmtId="185" fontId="17" fillId="0" borderId="0" xfId="55" applyNumberFormat="1" applyFont="1" applyAlignment="1" applyProtection="1">
      <alignment shrinkToFit="1"/>
      <protection hidden="1"/>
    </xf>
    <xf numFmtId="194" fontId="17" fillId="0" borderId="0" xfId="55" applyNumberFormat="1" applyFont="1" applyAlignment="1" applyProtection="1">
      <alignment shrinkToFit="1"/>
      <protection hidden="1"/>
    </xf>
    <xf numFmtId="0" fontId="19" fillId="0" borderId="8" xfId="55" applyFont="1" applyBorder="1" applyProtection="1">
      <protection hidden="1"/>
    </xf>
    <xf numFmtId="0" fontId="17" fillId="0" borderId="0" xfId="55" applyFont="1" applyBorder="1" applyAlignment="1" applyProtection="1">
      <alignment shrinkToFit="1"/>
      <protection hidden="1"/>
    </xf>
    <xf numFmtId="0" fontId="17" fillId="0" borderId="0" xfId="55" applyFont="1" applyAlignment="1" applyProtection="1">
      <alignment horizontal="center" shrinkToFit="1"/>
      <protection hidden="1"/>
    </xf>
    <xf numFmtId="0" fontId="26" fillId="0" borderId="0" xfId="55" applyFont="1" applyAlignment="1" applyProtection="1">
      <alignment horizontal="center" shrinkToFit="1"/>
      <protection hidden="1"/>
    </xf>
    <xf numFmtId="195" fontId="17" fillId="0" borderId="0" xfId="55" applyNumberFormat="1" applyFont="1" applyAlignment="1" applyProtection="1">
      <alignment horizontal="center" shrinkToFit="1"/>
      <protection hidden="1"/>
    </xf>
    <xf numFmtId="195" fontId="17" fillId="0" borderId="0" xfId="55" applyNumberFormat="1" applyFont="1" applyAlignment="1" applyProtection="1">
      <alignment shrinkToFit="1"/>
      <protection hidden="1"/>
    </xf>
    <xf numFmtId="0" fontId="17" fillId="0" borderId="0" xfId="55" applyFont="1" applyFill="1" applyAlignment="1" applyProtection="1">
      <alignment horizontal="center" shrinkToFit="1"/>
      <protection hidden="1"/>
    </xf>
    <xf numFmtId="0" fontId="26" fillId="0" borderId="0" xfId="55" applyFont="1" applyFill="1" applyAlignment="1" applyProtection="1">
      <alignment horizontal="center" shrinkToFit="1"/>
      <protection hidden="1"/>
    </xf>
    <xf numFmtId="192" fontId="25" fillId="0" borderId="0" xfId="0" applyNumberFormat="1" applyFont="1" applyFill="1" applyAlignment="1" applyProtection="1">
      <alignment horizontal="center" shrinkToFit="1"/>
      <protection hidden="1"/>
    </xf>
    <xf numFmtId="192" fontId="17" fillId="0" borderId="0" xfId="55" applyNumberFormat="1" applyFont="1" applyFill="1" applyAlignment="1" applyProtection="1">
      <alignment horizontal="center" shrinkToFit="1"/>
      <protection hidden="1"/>
    </xf>
    <xf numFmtId="184" fontId="17" fillId="0" borderId="0" xfId="55" applyNumberFormat="1" applyFont="1" applyAlignment="1" applyProtection="1">
      <alignment shrinkToFit="1"/>
      <protection hidden="1"/>
    </xf>
    <xf numFmtId="191" fontId="17" fillId="0" borderId="0" xfId="55" applyNumberFormat="1" applyFont="1" applyAlignment="1" applyProtection="1">
      <alignment shrinkToFit="1"/>
      <protection locked="0"/>
    </xf>
    <xf numFmtId="196" fontId="17" fillId="0" borderId="0" xfId="55" applyNumberFormat="1" applyFont="1" applyAlignment="1" applyProtection="1">
      <alignment shrinkToFit="1"/>
      <protection hidden="1"/>
    </xf>
    <xf numFmtId="191" fontId="17" fillId="0" borderId="0" xfId="55" applyNumberFormat="1" applyFont="1" applyBorder="1" applyAlignment="1" applyProtection="1">
      <alignment shrinkToFit="1"/>
      <protection hidden="1"/>
    </xf>
    <xf numFmtId="0" fontId="16" fillId="0" borderId="0" xfId="55" applyFont="1" applyProtection="1">
      <protection locked="0" hidden="1"/>
    </xf>
    <xf numFmtId="0" fontId="17" fillId="0" borderId="0" xfId="55" applyFont="1" applyAlignment="1" applyProtection="1">
      <alignment shrinkToFit="1"/>
      <protection locked="0" hidden="1"/>
    </xf>
    <xf numFmtId="191" fontId="17" fillId="0" borderId="0" xfId="55" applyNumberFormat="1" applyFont="1" applyAlignment="1" applyProtection="1">
      <alignment shrinkToFit="1"/>
      <protection locked="0" hidden="1"/>
    </xf>
    <xf numFmtId="0" fontId="16" fillId="5" borderId="0" xfId="55" applyFont="1" applyFill="1" applyProtection="1">
      <protection locked="0"/>
    </xf>
    <xf numFmtId="0" fontId="16" fillId="5" borderId="0" xfId="55" applyFont="1" applyFill="1" applyProtection="1">
      <protection locked="0" hidden="1"/>
    </xf>
    <xf numFmtId="0" fontId="16" fillId="5" borderId="0" xfId="55" applyFont="1" applyFill="1" applyProtection="1">
      <protection hidden="1"/>
    </xf>
    <xf numFmtId="0" fontId="27" fillId="5" borderId="0" xfId="55" applyFont="1" applyFill="1" applyProtection="1">
      <protection locked="0"/>
    </xf>
    <xf numFmtId="0" fontId="28" fillId="5" borderId="0" xfId="55" applyFont="1" applyFill="1" applyProtection="1">
      <protection locked="0"/>
    </xf>
    <xf numFmtId="0" fontId="27" fillId="5" borderId="0" xfId="55" applyFont="1" applyFill="1" applyBorder="1" applyProtection="1">
      <protection locked="0"/>
    </xf>
    <xf numFmtId="0" fontId="29" fillId="5" borderId="0" xfId="55" applyFont="1" applyFill="1" applyBorder="1" applyAlignment="1" applyProtection="1">
      <alignment horizontal="center" vertical="center" shrinkToFit="1"/>
      <protection locked="0"/>
    </xf>
    <xf numFmtId="0" fontId="30" fillId="5" borderId="0" xfId="55" applyFont="1" applyFill="1" applyBorder="1" applyAlignment="1" applyProtection="1">
      <alignment horizontal="center" vertical="center" shrinkToFit="1"/>
      <protection locked="0"/>
    </xf>
    <xf numFmtId="0" fontId="31" fillId="5" borderId="0" xfId="55" applyFont="1" applyFill="1" applyBorder="1" applyAlignment="1" applyProtection="1">
      <alignment horizontal="center" vertical="center" shrinkToFit="1"/>
      <protection locked="0"/>
    </xf>
    <xf numFmtId="0" fontId="32" fillId="5" borderId="1" xfId="55" applyFont="1" applyFill="1" applyBorder="1" applyAlignment="1" applyProtection="1">
      <alignment horizontal="center" vertical="center" wrapText="1"/>
      <protection hidden="1"/>
    </xf>
    <xf numFmtId="0" fontId="32" fillId="5" borderId="17" xfId="55" applyFont="1" applyFill="1" applyBorder="1" applyAlignment="1" applyProtection="1">
      <alignment horizontal="center" vertical="center" wrapText="1"/>
      <protection hidden="1"/>
    </xf>
    <xf numFmtId="0" fontId="33" fillId="4" borderId="18" xfId="55" applyFont="1" applyFill="1" applyBorder="1" applyAlignment="1" applyProtection="1">
      <alignment horizontal="center" vertical="center" shrinkToFit="1"/>
      <protection locked="0"/>
    </xf>
    <xf numFmtId="0" fontId="33" fillId="4" borderId="2" xfId="55" applyFont="1" applyFill="1" applyBorder="1" applyAlignment="1" applyProtection="1">
      <alignment horizontal="center" vertical="center" shrinkToFit="1"/>
      <protection locked="0"/>
    </xf>
    <xf numFmtId="0" fontId="32" fillId="5" borderId="19" xfId="55" applyFont="1" applyFill="1" applyBorder="1" applyAlignment="1" applyProtection="1">
      <alignment horizontal="center" vertical="center" wrapText="1"/>
      <protection hidden="1"/>
    </xf>
    <xf numFmtId="0" fontId="32" fillId="5" borderId="16" xfId="55" applyFont="1" applyFill="1" applyBorder="1" applyAlignment="1" applyProtection="1">
      <alignment horizontal="center" vertical="center" wrapText="1"/>
      <protection hidden="1"/>
    </xf>
    <xf numFmtId="0" fontId="33" fillId="4" borderId="11" xfId="55" applyFont="1" applyFill="1" applyBorder="1" applyAlignment="1" applyProtection="1">
      <alignment horizontal="center" vertical="center" shrinkToFit="1"/>
      <protection locked="0"/>
    </xf>
    <xf numFmtId="0" fontId="33" fillId="4" borderId="13" xfId="55" applyFont="1" applyFill="1" applyBorder="1" applyAlignment="1" applyProtection="1">
      <alignment horizontal="center" vertical="center" shrinkToFit="1"/>
      <protection locked="0"/>
    </xf>
    <xf numFmtId="0" fontId="19" fillId="5" borderId="19" xfId="55" applyFont="1" applyFill="1" applyBorder="1" applyAlignment="1" applyProtection="1">
      <alignment horizontal="centerContinuous" vertical="center"/>
      <protection hidden="1"/>
    </xf>
    <xf numFmtId="0" fontId="19" fillId="5" borderId="13" xfId="55" applyFont="1" applyFill="1" applyBorder="1" applyAlignment="1" applyProtection="1">
      <alignment horizontal="centerContinuous" vertical="center"/>
      <protection hidden="1"/>
    </xf>
    <xf numFmtId="0" fontId="34" fillId="4" borderId="20" xfId="55" applyFont="1" applyFill="1" applyBorder="1" applyAlignment="1" applyProtection="1">
      <alignment horizontal="center" vertical="center" shrinkToFit="1"/>
      <protection locked="0"/>
    </xf>
    <xf numFmtId="0" fontId="34" fillId="4" borderId="21" xfId="55" applyFont="1" applyFill="1" applyBorder="1" applyAlignment="1" applyProtection="1">
      <alignment horizontal="center" vertical="center" shrinkToFit="1"/>
      <protection locked="0"/>
    </xf>
    <xf numFmtId="0" fontId="19" fillId="5" borderId="3" xfId="55" applyFont="1" applyFill="1" applyBorder="1" applyAlignment="1" applyProtection="1">
      <alignment horizontal="centerContinuous" vertical="center"/>
      <protection hidden="1"/>
    </xf>
    <xf numFmtId="0" fontId="19" fillId="5" borderId="0" xfId="55" applyFont="1" applyFill="1" applyBorder="1" applyAlignment="1" applyProtection="1">
      <alignment horizontal="centerContinuous" vertical="center"/>
      <protection hidden="1"/>
    </xf>
    <xf numFmtId="0" fontId="35" fillId="5" borderId="22" xfId="55" applyFont="1" applyFill="1" applyBorder="1" applyAlignment="1" applyProtection="1">
      <alignment horizontal="center" vertical="center"/>
      <protection locked="0"/>
    </xf>
    <xf numFmtId="0" fontId="35" fillId="5" borderId="14" xfId="55" applyFont="1" applyFill="1" applyBorder="1" applyAlignment="1" applyProtection="1">
      <alignment horizontal="centerContinuous" vertical="center"/>
      <protection locked="0"/>
    </xf>
    <xf numFmtId="49" fontId="21" fillId="6" borderId="23" xfId="55" applyNumberFormat="1" applyFont="1" applyFill="1" applyBorder="1" applyAlignment="1" applyProtection="1">
      <alignment horizontal="center" vertical="center" shrinkToFit="1"/>
      <protection locked="0"/>
    </xf>
    <xf numFmtId="0" fontId="19" fillId="5" borderId="22" xfId="55" applyFont="1" applyFill="1" applyBorder="1" applyAlignment="1" applyProtection="1">
      <alignment horizontal="center" vertical="center"/>
      <protection locked="0"/>
    </xf>
    <xf numFmtId="0" fontId="19" fillId="5" borderId="24" xfId="55" applyFont="1" applyFill="1" applyBorder="1" applyAlignment="1" applyProtection="1">
      <alignment horizontal="centerContinuous" vertical="center"/>
      <protection locked="0"/>
    </xf>
    <xf numFmtId="49" fontId="21" fillId="5" borderId="23" xfId="55" applyNumberFormat="1" applyFont="1" applyFill="1" applyBorder="1" applyAlignment="1" applyProtection="1">
      <alignment horizontal="center" vertical="center" shrinkToFit="1"/>
      <protection locked="0"/>
    </xf>
    <xf numFmtId="0" fontId="35" fillId="5" borderId="25" xfId="55" applyFont="1" applyFill="1" applyBorder="1" applyAlignment="1" applyProtection="1">
      <alignment horizontal="center" textRotation="255"/>
      <protection hidden="1"/>
    </xf>
    <xf numFmtId="0" fontId="21" fillId="5" borderId="26" xfId="55" applyFont="1" applyFill="1" applyBorder="1" applyAlignment="1" applyProtection="1">
      <alignment horizontal="center" vertical="center"/>
      <protection hidden="1"/>
    </xf>
    <xf numFmtId="191" fontId="19" fillId="4" borderId="27" xfId="55" applyNumberFormat="1" applyFont="1" applyFill="1" applyBorder="1" applyAlignment="1" applyProtection="1">
      <alignment horizontal="center" vertical="center" shrinkToFit="1"/>
      <protection locked="0"/>
    </xf>
    <xf numFmtId="0" fontId="21" fillId="5" borderId="28" xfId="55" applyFont="1" applyFill="1" applyBorder="1" applyAlignment="1" applyProtection="1">
      <alignment horizontal="center" vertical="top" textRotation="255"/>
      <protection hidden="1"/>
    </xf>
    <xf numFmtId="194" fontId="19" fillId="4" borderId="27" xfId="55" applyNumberFormat="1" applyFont="1" applyFill="1" applyBorder="1" applyAlignment="1" applyProtection="1">
      <alignment horizontal="center" vertical="center" shrinkToFit="1"/>
      <protection locked="0"/>
    </xf>
    <xf numFmtId="0" fontId="21" fillId="5" borderId="19" xfId="55" applyFont="1" applyFill="1" applyBorder="1" applyAlignment="1" applyProtection="1">
      <alignment horizontal="centerContinuous" vertical="center"/>
      <protection hidden="1"/>
    </xf>
    <xf numFmtId="0" fontId="21" fillId="5" borderId="16" xfId="55" applyFont="1" applyFill="1" applyBorder="1" applyAlignment="1" applyProtection="1">
      <alignment horizontal="centerContinuous" vertical="center"/>
      <protection hidden="1"/>
    </xf>
    <xf numFmtId="2" fontId="21" fillId="5" borderId="29" xfId="55" applyNumberFormat="1" applyFont="1" applyFill="1" applyBorder="1" applyAlignment="1" applyProtection="1">
      <alignment horizontal="center" vertical="center" shrinkToFit="1"/>
      <protection hidden="1"/>
    </xf>
    <xf numFmtId="2" fontId="21" fillId="5" borderId="30" xfId="55" applyNumberFormat="1" applyFont="1" applyFill="1" applyBorder="1" applyAlignment="1" applyProtection="1">
      <alignment horizontal="center" vertical="center" shrinkToFit="1"/>
      <protection hidden="1"/>
    </xf>
    <xf numFmtId="0" fontId="21" fillId="5" borderId="13" xfId="55" applyFont="1" applyFill="1" applyBorder="1" applyAlignment="1" applyProtection="1">
      <alignment horizontal="centerContinuous" vertical="center"/>
      <protection hidden="1"/>
    </xf>
    <xf numFmtId="2" fontId="21" fillId="5" borderId="31" xfId="55" applyNumberFormat="1" applyFont="1" applyFill="1" applyBorder="1" applyAlignment="1" applyProtection="1">
      <alignment horizontal="center" vertical="center" shrinkToFit="1"/>
      <protection hidden="1"/>
    </xf>
    <xf numFmtId="2" fontId="21" fillId="5" borderId="32" xfId="55" applyNumberFormat="1" applyFont="1" applyFill="1" applyBorder="1" applyAlignment="1" applyProtection="1">
      <alignment horizontal="center" vertical="center" shrinkToFit="1"/>
      <protection hidden="1"/>
    </xf>
    <xf numFmtId="0" fontId="21" fillId="5" borderId="33" xfId="55" applyFont="1" applyFill="1" applyBorder="1" applyAlignment="1" applyProtection="1">
      <alignment horizontal="center" vertical="center"/>
      <protection hidden="1"/>
    </xf>
    <xf numFmtId="0" fontId="21" fillId="5" borderId="12" xfId="55" applyFont="1" applyFill="1" applyBorder="1" applyAlignment="1" applyProtection="1">
      <alignment horizontal="center" vertical="center"/>
      <protection hidden="1"/>
    </xf>
    <xf numFmtId="0" fontId="19" fillId="5" borderId="25" xfId="55" applyFont="1" applyFill="1" applyBorder="1" applyAlignment="1" applyProtection="1">
      <alignment horizontal="center"/>
      <protection hidden="1"/>
    </xf>
    <xf numFmtId="0" fontId="21" fillId="5" borderId="0" xfId="55" applyFont="1" applyFill="1" applyBorder="1" applyAlignment="1" applyProtection="1">
      <alignment horizontal="center" vertical="center"/>
      <protection hidden="1"/>
    </xf>
    <xf numFmtId="0" fontId="19" fillId="5" borderId="25" xfId="55" applyFont="1" applyFill="1" applyBorder="1" applyAlignment="1" applyProtection="1">
      <alignment horizontal="center" vertical="top" textRotation="255" shrinkToFit="1"/>
      <protection hidden="1"/>
    </xf>
    <xf numFmtId="0" fontId="19" fillId="5" borderId="25" xfId="0" applyFont="1" applyFill="1" applyBorder="1" applyAlignment="1">
      <alignment horizontal="center" vertical="top" textRotation="255" shrinkToFit="1"/>
    </xf>
    <xf numFmtId="0" fontId="19" fillId="5" borderId="25" xfId="55" applyFont="1" applyFill="1" applyBorder="1" applyAlignment="1" applyProtection="1">
      <alignment horizontal="center"/>
      <protection locked="0"/>
    </xf>
    <xf numFmtId="0" fontId="36" fillId="5" borderId="0" xfId="55" applyFont="1" applyFill="1" applyBorder="1" applyAlignment="1" applyProtection="1">
      <alignment vertical="center"/>
      <protection hidden="1"/>
    </xf>
    <xf numFmtId="0" fontId="21" fillId="5" borderId="0" xfId="55" applyFont="1" applyFill="1" applyBorder="1" applyAlignment="1" applyProtection="1">
      <alignment vertical="center"/>
      <protection hidden="1"/>
    </xf>
    <xf numFmtId="0" fontId="19" fillId="5" borderId="0" xfId="55" applyFont="1" applyFill="1" applyBorder="1" applyAlignment="1" applyProtection="1">
      <alignment horizontal="center" vertical="center"/>
      <protection hidden="1"/>
    </xf>
    <xf numFmtId="0" fontId="19" fillId="5" borderId="0" xfId="55" applyFont="1" applyFill="1" applyBorder="1" applyAlignment="1" applyProtection="1">
      <alignment vertical="center"/>
      <protection hidden="1"/>
    </xf>
    <xf numFmtId="0" fontId="35" fillId="5" borderId="0" xfId="55" applyFont="1" applyFill="1" applyBorder="1" applyAlignment="1" applyProtection="1">
      <alignment horizontal="center" vertical="center"/>
      <protection hidden="1"/>
    </xf>
    <xf numFmtId="0" fontId="19" fillId="5" borderId="28" xfId="0" applyFont="1" applyFill="1" applyBorder="1" applyAlignment="1">
      <alignment horizontal="center" vertical="top" textRotation="255" shrinkToFit="1"/>
    </xf>
    <xf numFmtId="0" fontId="0" fillId="5" borderId="34" xfId="55" applyFont="1" applyFill="1" applyBorder="1" applyAlignment="1" applyProtection="1">
      <alignment horizontal="center" vertical="center" wrapText="1"/>
      <protection hidden="1"/>
    </xf>
    <xf numFmtId="0" fontId="16" fillId="5" borderId="12" xfId="55" applyFont="1" applyFill="1" applyBorder="1" applyAlignment="1" applyProtection="1">
      <alignment vertical="center" wrapText="1"/>
      <protection hidden="1"/>
    </xf>
    <xf numFmtId="0" fontId="16" fillId="5" borderId="14" xfId="55" applyFont="1" applyFill="1" applyBorder="1" applyAlignment="1" applyProtection="1">
      <alignment vertical="center" wrapText="1"/>
      <protection hidden="1"/>
    </xf>
    <xf numFmtId="0" fontId="16" fillId="5" borderId="9" xfId="55" applyFont="1" applyFill="1" applyBorder="1" applyAlignment="1" applyProtection="1">
      <alignment vertical="center"/>
      <protection locked="0"/>
    </xf>
    <xf numFmtId="0" fontId="16" fillId="5" borderId="3" xfId="55" applyFont="1" applyFill="1" applyBorder="1" applyAlignment="1" applyProtection="1">
      <alignment vertical="center" wrapText="1"/>
      <protection hidden="1"/>
    </xf>
    <xf numFmtId="0" fontId="16" fillId="5" borderId="0" xfId="55" applyFont="1" applyFill="1" applyBorder="1" applyAlignment="1" applyProtection="1">
      <alignment vertical="center" wrapText="1"/>
      <protection hidden="1"/>
    </xf>
    <xf numFmtId="0" fontId="16" fillId="5" borderId="15" xfId="55" applyFont="1" applyFill="1" applyBorder="1" applyAlignment="1" applyProtection="1">
      <alignment vertical="center" wrapText="1"/>
      <protection hidden="1"/>
    </xf>
    <xf numFmtId="0" fontId="16" fillId="5" borderId="10" xfId="0" applyFont="1" applyFill="1" applyBorder="1" applyAlignment="1" applyProtection="1">
      <protection locked="0"/>
    </xf>
    <xf numFmtId="0" fontId="16" fillId="5" borderId="4" xfId="55" applyFont="1" applyFill="1" applyBorder="1" applyAlignment="1" applyProtection="1">
      <alignment vertical="center" wrapText="1"/>
      <protection hidden="1"/>
    </xf>
    <xf numFmtId="0" fontId="16" fillId="5" borderId="5" xfId="55" applyFont="1" applyFill="1" applyBorder="1" applyAlignment="1" applyProtection="1">
      <alignment vertical="center" wrapText="1"/>
      <protection hidden="1"/>
    </xf>
    <xf numFmtId="0" fontId="16" fillId="5" borderId="35" xfId="55" applyFont="1" applyFill="1" applyBorder="1" applyAlignment="1" applyProtection="1">
      <alignment vertical="center" wrapText="1"/>
      <protection hidden="1"/>
    </xf>
    <xf numFmtId="0" fontId="16" fillId="5" borderId="36" xfId="0" applyFont="1" applyFill="1" applyBorder="1" applyAlignment="1" applyProtection="1">
      <protection locked="0"/>
    </xf>
    <xf numFmtId="0" fontId="37" fillId="5" borderId="0" xfId="55" applyFont="1" applyFill="1" applyAlignment="1" applyProtection="1">
      <alignment vertical="center"/>
      <protection locked="0"/>
    </xf>
    <xf numFmtId="0" fontId="22" fillId="5" borderId="0" xfId="55" applyFont="1" applyFill="1" applyAlignment="1" applyProtection="1">
      <alignment vertical="center"/>
      <protection locked="0"/>
    </xf>
    <xf numFmtId="0" fontId="17" fillId="5" borderId="0" xfId="55" applyFont="1" applyFill="1" applyBorder="1" applyAlignment="1" applyProtection="1">
      <alignment vertical="center"/>
      <protection hidden="1"/>
    </xf>
    <xf numFmtId="0" fontId="38" fillId="5" borderId="0" xfId="55" applyFont="1" applyFill="1" applyBorder="1" applyAlignment="1" applyProtection="1">
      <alignment vertical="center"/>
      <protection hidden="1"/>
    </xf>
    <xf numFmtId="0" fontId="17" fillId="5" borderId="0" xfId="55" applyFont="1" applyFill="1" applyBorder="1" applyProtection="1">
      <protection hidden="1"/>
    </xf>
    <xf numFmtId="0" fontId="25" fillId="5" borderId="0" xfId="55" applyFont="1" applyFill="1" applyBorder="1" applyAlignment="1" applyProtection="1">
      <alignment vertical="center"/>
      <protection hidden="1"/>
    </xf>
    <xf numFmtId="2" fontId="25" fillId="5" borderId="0" xfId="55" applyNumberFormat="1" applyFont="1" applyFill="1" applyBorder="1" applyAlignment="1" applyProtection="1">
      <alignment horizontal="center" vertical="center" shrinkToFit="1"/>
      <protection hidden="1"/>
    </xf>
    <xf numFmtId="2" fontId="25" fillId="5" borderId="0" xfId="55" applyNumberFormat="1" applyFont="1" applyFill="1" applyBorder="1" applyAlignment="1" applyProtection="1">
      <alignment vertical="center" shrinkToFit="1"/>
      <protection hidden="1"/>
    </xf>
    <xf numFmtId="194" fontId="25" fillId="5" borderId="0" xfId="55" applyNumberFormat="1" applyFont="1" applyFill="1" applyBorder="1" applyAlignment="1" applyProtection="1">
      <alignment vertical="center" shrinkToFit="1"/>
      <protection hidden="1"/>
    </xf>
    <xf numFmtId="0" fontId="17" fillId="5" borderId="0" xfId="55" applyFont="1" applyFill="1" applyBorder="1" applyAlignment="1" applyProtection="1">
      <alignment vertical="center" shrinkToFit="1"/>
      <protection hidden="1"/>
    </xf>
    <xf numFmtId="196" fontId="17" fillId="5" borderId="0" xfId="55" applyNumberFormat="1" applyFont="1" applyFill="1" applyBorder="1" applyAlignment="1" applyProtection="1">
      <alignment vertical="center" shrinkToFit="1"/>
      <protection hidden="1"/>
    </xf>
    <xf numFmtId="0" fontId="16" fillId="5" borderId="0" xfId="55" applyFont="1" applyFill="1" applyAlignment="1" applyProtection="1">
      <alignment vertical="center"/>
      <protection hidden="1"/>
    </xf>
    <xf numFmtId="0" fontId="29" fillId="5" borderId="0" xfId="55" applyFont="1" applyFill="1" applyBorder="1" applyProtection="1">
      <protection locked="0"/>
    </xf>
    <xf numFmtId="0" fontId="39" fillId="4" borderId="2" xfId="55" applyFont="1" applyFill="1" applyBorder="1" applyAlignment="1" applyProtection="1">
      <alignment horizontal="center" vertical="center" shrinkToFit="1"/>
      <protection locked="0"/>
    </xf>
    <xf numFmtId="0" fontId="39" fillId="4" borderId="17" xfId="55" applyFont="1" applyFill="1" applyBorder="1" applyAlignment="1" applyProtection="1">
      <alignment horizontal="center" vertical="center" shrinkToFit="1"/>
      <protection locked="0"/>
    </xf>
    <xf numFmtId="0" fontId="39" fillId="4" borderId="13" xfId="55" applyFont="1" applyFill="1" applyBorder="1" applyAlignment="1" applyProtection="1">
      <alignment horizontal="center" vertical="center" shrinkToFit="1"/>
      <protection locked="0"/>
    </xf>
    <xf numFmtId="0" fontId="39" fillId="4" borderId="16" xfId="55" applyFont="1" applyFill="1" applyBorder="1" applyAlignment="1" applyProtection="1">
      <alignment horizontal="center" vertical="center" shrinkToFit="1"/>
      <protection locked="0"/>
    </xf>
    <xf numFmtId="0" fontId="34" fillId="4" borderId="24" xfId="55" applyFont="1" applyFill="1" applyBorder="1" applyAlignment="1" applyProtection="1">
      <alignment horizontal="center" vertical="center" shrinkToFit="1"/>
      <protection locked="0"/>
    </xf>
    <xf numFmtId="0" fontId="16" fillId="5" borderId="12" xfId="0" applyFont="1" applyFill="1" applyBorder="1" applyAlignment="1" applyProtection="1">
      <protection locked="0"/>
    </xf>
    <xf numFmtId="0" fontId="16" fillId="5" borderId="0" xfId="0" applyFont="1" applyFill="1" applyBorder="1" applyAlignment="1" applyProtection="1">
      <protection locked="0"/>
    </xf>
    <xf numFmtId="0" fontId="16" fillId="5" borderId="5" xfId="0" applyFont="1" applyFill="1" applyBorder="1" applyAlignment="1" applyProtection="1">
      <protection locked="0"/>
    </xf>
    <xf numFmtId="0" fontId="16" fillId="5" borderId="0" xfId="55" applyFont="1" applyFill="1" applyAlignment="1" applyProtection="1">
      <alignment vertical="center"/>
      <protection locked="0"/>
    </xf>
    <xf numFmtId="196" fontId="38" fillId="5" borderId="0" xfId="55" applyNumberFormat="1" applyFont="1" applyFill="1" applyBorder="1" applyAlignment="1" applyProtection="1">
      <alignment horizontal="center" vertical="center"/>
      <protection hidden="1"/>
    </xf>
    <xf numFmtId="0" fontId="17" fillId="5" borderId="0" xfId="55" applyFont="1" applyFill="1" applyBorder="1" applyAlignment="1" applyProtection="1">
      <alignment shrinkToFit="1"/>
      <protection hidden="1"/>
    </xf>
    <xf numFmtId="0" fontId="40" fillId="5" borderId="0" xfId="55" applyFont="1" applyFill="1" applyBorder="1" applyProtection="1">
      <protection locked="0"/>
    </xf>
    <xf numFmtId="0" fontId="16" fillId="5" borderId="0" xfId="55" applyFont="1" applyFill="1" applyBorder="1" applyProtection="1">
      <protection locked="0"/>
    </xf>
    <xf numFmtId="0" fontId="19" fillId="5" borderId="37" xfId="55" applyFont="1" applyFill="1" applyBorder="1" applyAlignment="1" applyProtection="1">
      <alignment horizontal="center" vertical="center"/>
      <protection hidden="1"/>
    </xf>
    <xf numFmtId="0" fontId="19" fillId="5" borderId="38" xfId="55" applyFont="1" applyFill="1" applyBorder="1" applyAlignment="1" applyProtection="1">
      <alignment horizontal="center" vertical="center"/>
      <protection hidden="1"/>
    </xf>
    <xf numFmtId="0" fontId="21" fillId="5" borderId="20" xfId="55" applyFont="1" applyFill="1" applyBorder="1" applyAlignment="1" applyProtection="1">
      <alignment horizontal="center" vertical="center"/>
      <protection hidden="1"/>
    </xf>
    <xf numFmtId="0" fontId="21" fillId="5" borderId="24" xfId="55" applyFont="1" applyFill="1" applyBorder="1" applyAlignment="1" applyProtection="1">
      <alignment horizontal="center" vertical="center"/>
      <protection hidden="1"/>
    </xf>
    <xf numFmtId="196" fontId="32" fillId="4" borderId="20" xfId="55" applyNumberFormat="1" applyFont="1" applyFill="1" applyBorder="1" applyAlignment="1" applyProtection="1">
      <alignment horizontal="center" vertical="center" shrinkToFit="1"/>
      <protection locked="0"/>
    </xf>
    <xf numFmtId="196" fontId="32" fillId="4" borderId="24" xfId="55" applyNumberFormat="1" applyFont="1" applyFill="1" applyBorder="1" applyAlignment="1" applyProtection="1">
      <alignment horizontal="center" vertical="center" shrinkToFit="1"/>
      <protection locked="0"/>
    </xf>
    <xf numFmtId="0" fontId="41" fillId="5" borderId="5" xfId="55" applyFont="1" applyFill="1" applyBorder="1" applyAlignment="1" applyProtection="1">
      <alignment horizontal="left"/>
      <protection locked="0"/>
    </xf>
    <xf numFmtId="0" fontId="41" fillId="5" borderId="5" xfId="55" applyFont="1" applyFill="1" applyBorder="1" applyAlignment="1" applyProtection="1">
      <alignment shrinkToFit="1"/>
      <protection locked="0"/>
    </xf>
    <xf numFmtId="0" fontId="42" fillId="5" borderId="5" xfId="55" applyFont="1" applyFill="1" applyBorder="1" applyAlignment="1" applyProtection="1">
      <alignment horizontal="centerContinuous"/>
      <protection locked="0"/>
    </xf>
    <xf numFmtId="0" fontId="31" fillId="5" borderId="0" xfId="55" applyFont="1" applyFill="1" applyBorder="1" applyProtection="1">
      <protection locked="0"/>
    </xf>
    <xf numFmtId="0" fontId="43" fillId="5" borderId="37" xfId="55" applyFont="1" applyFill="1" applyBorder="1" applyAlignment="1" applyProtection="1">
      <alignment horizontal="center" vertical="center"/>
      <protection hidden="1"/>
    </xf>
    <xf numFmtId="0" fontId="43" fillId="5" borderId="38" xfId="55" applyFont="1" applyFill="1" applyBorder="1" applyAlignment="1" applyProtection="1">
      <alignment horizontal="center" vertical="center"/>
      <protection hidden="1"/>
    </xf>
    <xf numFmtId="0" fontId="19" fillId="5" borderId="20" xfId="55" applyFont="1" applyFill="1" applyBorder="1" applyAlignment="1" applyProtection="1">
      <alignment horizontal="center" vertical="center"/>
      <protection hidden="1"/>
    </xf>
    <xf numFmtId="0" fontId="19" fillId="5" borderId="24" xfId="0" applyFont="1" applyFill="1" applyBorder="1" applyAlignment="1" applyProtection="1">
      <alignment horizontal="center" vertical="center"/>
      <protection hidden="1"/>
    </xf>
    <xf numFmtId="0" fontId="21" fillId="5" borderId="9" xfId="55" applyFont="1" applyFill="1" applyBorder="1" applyAlignment="1" applyProtection="1">
      <alignment horizontal="center" vertical="center"/>
      <protection hidden="1"/>
    </xf>
    <xf numFmtId="0" fontId="19" fillId="5" borderId="14" xfId="55" applyFont="1" applyFill="1" applyBorder="1" applyAlignment="1" applyProtection="1">
      <alignment horizontal="center" vertical="center"/>
      <protection hidden="1"/>
    </xf>
    <xf numFmtId="0" fontId="44" fillId="5" borderId="5" xfId="55" applyFont="1" applyFill="1" applyBorder="1" applyAlignment="1" applyProtection="1">
      <alignment horizontal="centerContinuous"/>
      <protection locked="0"/>
    </xf>
    <xf numFmtId="0" fontId="27" fillId="5" borderId="5" xfId="55" applyFont="1" applyFill="1" applyBorder="1" applyAlignment="1" applyProtection="1">
      <alignment horizontal="centerContinuous"/>
      <protection locked="0"/>
    </xf>
    <xf numFmtId="0" fontId="16" fillId="5" borderId="5" xfId="55" applyFont="1" applyFill="1" applyBorder="1" applyAlignment="1" applyProtection="1">
      <alignment horizontal="centerContinuous"/>
      <protection locked="0"/>
    </xf>
    <xf numFmtId="0" fontId="27" fillId="5" borderId="0" xfId="55" applyFont="1" applyFill="1" applyBorder="1" applyAlignment="1" applyProtection="1">
      <alignment horizontal="centerContinuous"/>
      <protection locked="0"/>
    </xf>
    <xf numFmtId="0" fontId="19" fillId="5" borderId="39" xfId="55" applyFont="1" applyFill="1" applyBorder="1" applyAlignment="1" applyProtection="1">
      <alignment horizontal="center" vertical="center"/>
      <protection hidden="1"/>
    </xf>
    <xf numFmtId="0" fontId="19" fillId="5" borderId="38" xfId="55" applyFont="1" applyFill="1" applyBorder="1" applyAlignment="1" applyProtection="1">
      <alignment horizontal="left" vertical="center"/>
      <protection hidden="1"/>
    </xf>
    <xf numFmtId="196" fontId="19" fillId="5" borderId="20" xfId="55" applyNumberFormat="1" applyFont="1" applyFill="1" applyBorder="1" applyAlignment="1" applyProtection="1">
      <alignment horizontal="center" vertical="center"/>
      <protection hidden="1"/>
    </xf>
    <xf numFmtId="196" fontId="19" fillId="5" borderId="26" xfId="55" applyNumberFormat="1" applyFont="1" applyFill="1" applyBorder="1" applyAlignment="1" applyProtection="1">
      <alignment horizontal="center" vertical="center" shrinkToFit="1"/>
      <protection hidden="1"/>
    </xf>
    <xf numFmtId="196" fontId="19" fillId="5" borderId="27" xfId="55" applyNumberFormat="1" applyFont="1" applyFill="1" applyBorder="1" applyAlignment="1" applyProtection="1">
      <alignment horizontal="center" vertical="center" shrinkToFit="1"/>
      <protection hidden="1"/>
    </xf>
    <xf numFmtId="0" fontId="19" fillId="5" borderId="18" xfId="55" applyFont="1" applyFill="1" applyBorder="1" applyAlignment="1" applyProtection="1">
      <alignment horizontal="center" vertical="center" wrapText="1"/>
      <protection hidden="1"/>
    </xf>
    <xf numFmtId="0" fontId="19" fillId="5" borderId="17" xfId="55" applyFont="1" applyFill="1" applyBorder="1" applyAlignment="1" applyProtection="1">
      <alignment horizontal="center" vertical="center" wrapText="1"/>
      <protection hidden="1"/>
    </xf>
    <xf numFmtId="0" fontId="34" fillId="4" borderId="18" xfId="55" applyFont="1" applyFill="1" applyBorder="1" applyAlignment="1" applyProtection="1">
      <alignment horizontal="center" vertical="center" shrinkToFit="1"/>
      <protection locked="0"/>
    </xf>
    <xf numFmtId="0" fontId="34" fillId="4" borderId="2" xfId="55" applyFont="1" applyFill="1" applyBorder="1" applyAlignment="1" applyProtection="1">
      <alignment vertical="center" shrinkToFit="1"/>
      <protection locked="0"/>
    </xf>
    <xf numFmtId="0" fontId="19" fillId="5" borderId="11" xfId="55" applyFont="1" applyFill="1" applyBorder="1" applyAlignment="1" applyProtection="1">
      <alignment horizontal="center" vertical="center" wrapText="1"/>
      <protection hidden="1"/>
    </xf>
    <xf numFmtId="0" fontId="19" fillId="5" borderId="16" xfId="55" applyFont="1" applyFill="1" applyBorder="1" applyAlignment="1" applyProtection="1">
      <alignment horizontal="center" vertical="center" wrapText="1"/>
      <protection hidden="1"/>
    </xf>
    <xf numFmtId="0" fontId="34" fillId="4" borderId="11" xfId="55" applyFont="1" applyFill="1" applyBorder="1" applyAlignment="1" applyProtection="1">
      <alignment vertical="center" shrinkToFit="1"/>
      <protection locked="0"/>
    </xf>
    <xf numFmtId="0" fontId="34" fillId="4" borderId="13" xfId="55" applyFont="1" applyFill="1" applyBorder="1" applyAlignment="1" applyProtection="1">
      <alignment vertical="center" shrinkToFit="1"/>
      <protection locked="0"/>
    </xf>
    <xf numFmtId="0" fontId="19" fillId="5" borderId="27" xfId="55" applyFont="1" applyFill="1" applyBorder="1" applyAlignment="1" applyProtection="1">
      <alignment horizontal="center" vertical="center"/>
      <protection hidden="1"/>
    </xf>
    <xf numFmtId="0" fontId="19" fillId="5" borderId="27" xfId="55" applyFont="1" applyFill="1" applyBorder="1" applyAlignment="1" applyProtection="1">
      <alignment vertical="center"/>
      <protection hidden="1"/>
    </xf>
    <xf numFmtId="0" fontId="34" fillId="4" borderId="21" xfId="55" applyFont="1" applyFill="1" applyBorder="1" applyAlignment="1" applyProtection="1">
      <alignment vertical="center" shrinkToFit="1"/>
      <protection locked="0"/>
    </xf>
    <xf numFmtId="0" fontId="0" fillId="5" borderId="0" xfId="55" applyFont="1" applyFill="1" applyProtection="1">
      <protection locked="0"/>
    </xf>
    <xf numFmtId="0" fontId="22" fillId="5" borderId="0" xfId="55" applyFont="1" applyFill="1" applyProtection="1">
      <protection locked="0"/>
    </xf>
    <xf numFmtId="0" fontId="16" fillId="4" borderId="13" xfId="55" applyFont="1" applyFill="1" applyBorder="1" applyAlignment="1" applyProtection="1">
      <alignment horizontal="center"/>
      <protection locked="0"/>
    </xf>
    <xf numFmtId="0" fontId="34" fillId="4" borderId="17" xfId="55" applyFont="1" applyFill="1" applyBorder="1" applyAlignment="1" applyProtection="1">
      <alignment vertical="center" shrinkToFit="1"/>
      <protection locked="0"/>
    </xf>
    <xf numFmtId="0" fontId="19" fillId="5" borderId="18" xfId="55" applyFont="1" applyFill="1" applyBorder="1" applyAlignment="1" applyProtection="1">
      <alignment horizontal="center" vertical="center"/>
      <protection locked="0"/>
    </xf>
    <xf numFmtId="0" fontId="19" fillId="5" borderId="17" xfId="55" applyFont="1" applyFill="1" applyBorder="1" applyAlignment="1" applyProtection="1">
      <alignment vertical="center"/>
      <protection locked="0"/>
    </xf>
    <xf numFmtId="0" fontId="34" fillId="4" borderId="16" xfId="55" applyFont="1" applyFill="1" applyBorder="1" applyAlignment="1" applyProtection="1">
      <alignment vertical="center" shrinkToFit="1"/>
      <protection locked="0"/>
    </xf>
    <xf numFmtId="0" fontId="19" fillId="5" borderId="11" xfId="55" applyFont="1" applyFill="1" applyBorder="1" applyAlignment="1" applyProtection="1">
      <alignment vertical="center"/>
      <protection locked="0"/>
    </xf>
    <xf numFmtId="0" fontId="19" fillId="5" borderId="16" xfId="55" applyFont="1" applyFill="1" applyBorder="1" applyAlignment="1" applyProtection="1">
      <alignment vertical="center"/>
      <protection locked="0"/>
    </xf>
    <xf numFmtId="0" fontId="34" fillId="4" borderId="24" xfId="55" applyFont="1" applyFill="1" applyBorder="1" applyAlignment="1" applyProtection="1">
      <alignment vertical="center" shrinkToFit="1"/>
      <protection locked="0"/>
    </xf>
    <xf numFmtId="0" fontId="35" fillId="5" borderId="20" xfId="55" applyFont="1" applyFill="1" applyBorder="1" applyAlignment="1" applyProtection="1">
      <alignment horizontal="center" vertical="center"/>
      <protection locked="0"/>
    </xf>
    <xf numFmtId="0" fontId="35" fillId="5" borderId="24" xfId="55" applyFont="1" applyFill="1" applyBorder="1" applyAlignment="1" applyProtection="1">
      <alignment vertical="center"/>
      <protection locked="0"/>
    </xf>
    <xf numFmtId="0" fontId="19" fillId="5" borderId="20" xfId="55" applyFont="1" applyFill="1" applyBorder="1" applyAlignment="1" applyProtection="1">
      <alignment horizontal="center" vertical="center"/>
      <protection locked="0"/>
    </xf>
    <xf numFmtId="0" fontId="19" fillId="5" borderId="24" xfId="55" applyFont="1" applyFill="1" applyBorder="1" applyAlignment="1" applyProtection="1">
      <alignment vertical="center"/>
      <protection locked="0"/>
    </xf>
    <xf numFmtId="49" fontId="21" fillId="5" borderId="21" xfId="55" applyNumberFormat="1" applyFont="1" applyFill="1" applyBorder="1" applyAlignment="1" applyProtection="1">
      <alignment horizontal="center" vertical="center" shrinkToFit="1"/>
      <protection locked="0"/>
    </xf>
    <xf numFmtId="49" fontId="21" fillId="5" borderId="27" xfId="55" applyNumberFormat="1" applyFont="1" applyFill="1" applyBorder="1" applyAlignment="1" applyProtection="1">
      <alignment horizontal="center" vertical="center" shrinkToFit="1"/>
      <protection locked="0"/>
    </xf>
    <xf numFmtId="49" fontId="21" fillId="4" borderId="27" xfId="55" applyNumberFormat="1" applyFont="1" applyFill="1" applyBorder="1" applyAlignment="1" applyProtection="1">
      <alignment horizontal="center" vertical="center" shrinkToFit="1"/>
      <protection locked="0"/>
    </xf>
    <xf numFmtId="2" fontId="21" fillId="5" borderId="27" xfId="55" applyNumberFormat="1" applyFont="1" applyFill="1" applyBorder="1" applyAlignment="1" applyProtection="1">
      <alignment horizontal="center" vertical="center" shrinkToFit="1"/>
      <protection hidden="1"/>
    </xf>
    <xf numFmtId="2" fontId="21" fillId="5" borderId="40" xfId="55" applyNumberFormat="1" applyFont="1" applyFill="1" applyBorder="1" applyAlignment="1" applyProtection="1">
      <alignment horizontal="center" vertical="center" shrinkToFit="1"/>
      <protection hidden="1"/>
    </xf>
    <xf numFmtId="194" fontId="38" fillId="5" borderId="0" xfId="55" applyNumberFormat="1" applyFont="1" applyFill="1" applyBorder="1" applyAlignment="1" applyProtection="1">
      <alignment vertical="center"/>
      <protection hidden="1"/>
    </xf>
    <xf numFmtId="0" fontId="32" fillId="4" borderId="2" xfId="55" applyFont="1" applyFill="1" applyBorder="1" applyAlignment="1" applyProtection="1">
      <alignment horizontal="center" vertical="center" shrinkToFit="1"/>
      <protection locked="0"/>
    </xf>
    <xf numFmtId="0" fontId="32" fillId="4" borderId="6" xfId="55" applyFont="1" applyFill="1" applyBorder="1" applyAlignment="1" applyProtection="1">
      <alignment horizontal="center" vertical="center" shrinkToFit="1"/>
      <protection locked="0"/>
    </xf>
    <xf numFmtId="0" fontId="22" fillId="5" borderId="0" xfId="55" applyFont="1" applyFill="1" applyBorder="1" applyAlignment="1" applyProtection="1">
      <alignment horizontal="center" vertical="center"/>
      <protection hidden="1"/>
    </xf>
    <xf numFmtId="0" fontId="32" fillId="4" borderId="13" xfId="55" applyFont="1" applyFill="1" applyBorder="1" applyAlignment="1" applyProtection="1">
      <alignment horizontal="center" vertical="center" shrinkToFit="1"/>
      <protection locked="0"/>
    </xf>
    <xf numFmtId="0" fontId="32" fillId="4" borderId="41" xfId="55" applyFont="1" applyFill="1" applyBorder="1" applyAlignment="1" applyProtection="1">
      <alignment horizontal="center" vertical="center" shrinkToFit="1"/>
      <protection locked="0"/>
    </xf>
    <xf numFmtId="0" fontId="34" fillId="4" borderId="42" xfId="55" applyFont="1" applyFill="1" applyBorder="1" applyAlignment="1" applyProtection="1">
      <alignment horizontal="center" vertical="center" shrinkToFit="1"/>
      <protection locked="0"/>
    </xf>
    <xf numFmtId="14" fontId="34" fillId="4" borderId="0" xfId="55" applyNumberFormat="1" applyFont="1" applyFill="1" applyBorder="1" applyAlignment="1" applyProtection="1">
      <alignment vertical="center" shrinkToFit="1"/>
      <protection locked="0"/>
    </xf>
    <xf numFmtId="0" fontId="34" fillId="4" borderId="0" xfId="55" applyFont="1" applyFill="1" applyBorder="1" applyAlignment="1" applyProtection="1">
      <alignment vertical="center" shrinkToFit="1"/>
      <protection locked="0"/>
    </xf>
    <xf numFmtId="0" fontId="34" fillId="4" borderId="7" xfId="55" applyFont="1" applyFill="1" applyBorder="1" applyAlignment="1" applyProtection="1">
      <alignment vertical="center" shrinkToFit="1"/>
      <protection locked="0"/>
    </xf>
    <xf numFmtId="0" fontId="21" fillId="7" borderId="20" xfId="55" applyFont="1" applyFill="1" applyBorder="1" applyAlignment="1" applyProtection="1">
      <alignment horizontal="center" vertical="center"/>
      <protection hidden="1"/>
    </xf>
    <xf numFmtId="0" fontId="19" fillId="7" borderId="21" xfId="0" applyFont="1" applyFill="1" applyBorder="1" applyAlignment="1" applyProtection="1">
      <alignment horizontal="center" vertical="center"/>
      <protection hidden="1"/>
    </xf>
    <xf numFmtId="0" fontId="19" fillId="7" borderId="42" xfId="0" applyFont="1" applyFill="1" applyBorder="1" applyAlignment="1" applyProtection="1">
      <alignment horizontal="center" vertical="center"/>
      <protection hidden="1"/>
    </xf>
    <xf numFmtId="0" fontId="21" fillId="5" borderId="0" xfId="55" applyFont="1" applyFill="1" applyBorder="1" applyAlignment="1" applyProtection="1">
      <alignment horizontal="left" vertical="center"/>
      <protection hidden="1"/>
    </xf>
    <xf numFmtId="2" fontId="35" fillId="5" borderId="43" xfId="55" applyNumberFormat="1" applyFont="1" applyFill="1" applyBorder="1" applyAlignment="1" applyProtection="1">
      <alignment horizontal="left" vertical="center" shrinkToFit="1"/>
      <protection hidden="1"/>
    </xf>
    <xf numFmtId="0" fontId="22" fillId="5" borderId="0" xfId="55" applyFont="1" applyFill="1" applyAlignment="1" applyProtection="1">
      <alignment horizontal="center" vertical="center"/>
      <protection hidden="1"/>
    </xf>
    <xf numFmtId="2" fontId="35" fillId="5" borderId="7" xfId="55" applyNumberFormat="1" applyFont="1" applyFill="1" applyBorder="1" applyAlignment="1" applyProtection="1">
      <alignment horizontal="left" vertical="center" shrinkToFit="1"/>
      <protection hidden="1"/>
    </xf>
    <xf numFmtId="0" fontId="21" fillId="5" borderId="7" xfId="55" applyFont="1" applyFill="1" applyBorder="1" applyAlignment="1" applyProtection="1">
      <alignment horizontal="center" vertical="center"/>
      <protection hidden="1"/>
    </xf>
    <xf numFmtId="0" fontId="21" fillId="7" borderId="21" xfId="55" applyFont="1" applyFill="1" applyBorder="1" applyAlignment="1" applyProtection="1">
      <alignment horizontal="center" vertical="center" shrinkToFit="1"/>
      <protection hidden="1"/>
    </xf>
    <xf numFmtId="0" fontId="19" fillId="7" borderId="21" xfId="0" applyFont="1" applyFill="1" applyBorder="1" applyAlignment="1" applyProtection="1">
      <alignment shrinkToFit="1"/>
      <protection hidden="1"/>
    </xf>
    <xf numFmtId="0" fontId="19" fillId="7" borderId="42" xfId="0" applyFont="1" applyFill="1" applyBorder="1" applyAlignment="1" applyProtection="1">
      <alignment shrinkToFit="1"/>
      <protection hidden="1"/>
    </xf>
    <xf numFmtId="0" fontId="19" fillId="5" borderId="0" xfId="55" applyFont="1" applyFill="1" applyBorder="1" applyProtection="1">
      <protection hidden="1"/>
    </xf>
    <xf numFmtId="0" fontId="21" fillId="5" borderId="10" xfId="55" applyFont="1" applyFill="1" applyBorder="1" applyAlignment="1" applyProtection="1">
      <alignment horizontal="center" vertical="center"/>
      <protection hidden="1"/>
    </xf>
    <xf numFmtId="0" fontId="19" fillId="5" borderId="7" xfId="55" applyFont="1" applyFill="1" applyBorder="1" applyAlignment="1" applyProtection="1">
      <alignment horizontal="center" vertical="center"/>
      <protection hidden="1"/>
    </xf>
    <xf numFmtId="0" fontId="35" fillId="5" borderId="13" xfId="55" applyFont="1" applyFill="1" applyBorder="1" applyAlignment="1" applyProtection="1">
      <alignment horizontal="left" vertical="center"/>
      <protection hidden="1"/>
    </xf>
    <xf numFmtId="0" fontId="32" fillId="5" borderId="13" xfId="55" applyFont="1" applyFill="1" applyBorder="1" applyAlignment="1" applyProtection="1">
      <alignment horizontal="center" vertical="center" shrinkToFit="1"/>
      <protection hidden="1"/>
    </xf>
    <xf numFmtId="0" fontId="19" fillId="5" borderId="41" xfId="55" applyFont="1" applyFill="1" applyBorder="1" applyAlignment="1" applyProtection="1">
      <alignment horizontal="center" vertical="center"/>
      <protection hidden="1"/>
    </xf>
    <xf numFmtId="0" fontId="19" fillId="5" borderId="21" xfId="55" applyFont="1" applyFill="1" applyBorder="1" applyAlignment="1" applyProtection="1">
      <alignment horizontal="center" vertical="center" shrinkToFit="1"/>
      <protection hidden="1"/>
    </xf>
    <xf numFmtId="0" fontId="19" fillId="5" borderId="21" xfId="0" applyFont="1" applyFill="1" applyBorder="1" applyAlignment="1" applyProtection="1">
      <alignment horizontal="center" vertical="center" shrinkToFit="1"/>
      <protection hidden="1"/>
    </xf>
    <xf numFmtId="0" fontId="19" fillId="5" borderId="42" xfId="0" applyFont="1" applyFill="1" applyBorder="1" applyAlignment="1" applyProtection="1">
      <alignment horizontal="center" vertical="center" shrinkToFit="1"/>
      <protection hidden="1"/>
    </xf>
    <xf numFmtId="0" fontId="45" fillId="5" borderId="21" xfId="55" applyFont="1" applyFill="1" applyBorder="1" applyAlignment="1" applyProtection="1">
      <alignment horizontal="center" vertical="center"/>
      <protection hidden="1"/>
    </xf>
    <xf numFmtId="2" fontId="35" fillId="5" borderId="21" xfId="55" applyNumberFormat="1" applyFont="1" applyFill="1" applyBorder="1" applyAlignment="1" applyProtection="1">
      <alignment horizontal="centerContinuous" vertical="center" shrinkToFit="1"/>
      <protection hidden="1"/>
    </xf>
    <xf numFmtId="0" fontId="35" fillId="5" borderId="42" xfId="55" applyFont="1" applyFill="1" applyBorder="1" applyAlignment="1" applyProtection="1">
      <alignment horizontal="centerContinuous"/>
      <protection hidden="1"/>
    </xf>
    <xf numFmtId="0" fontId="21" fillId="5" borderId="13" xfId="55" applyFont="1" applyFill="1" applyBorder="1" applyAlignment="1" applyProtection="1">
      <alignment horizontal="center" vertical="center" shrinkToFit="1"/>
      <protection hidden="1"/>
    </xf>
    <xf numFmtId="2" fontId="35" fillId="5" borderId="13" xfId="55" applyNumberFormat="1" applyFont="1" applyFill="1" applyBorder="1" applyAlignment="1" applyProtection="1">
      <alignment horizontal="left" vertical="center" shrinkToFit="1"/>
      <protection hidden="1"/>
    </xf>
    <xf numFmtId="0" fontId="35" fillId="5" borderId="41" xfId="55" applyFont="1" applyFill="1" applyBorder="1" applyAlignment="1" applyProtection="1">
      <alignment horizontal="centerContinuous"/>
      <protection hidden="1"/>
    </xf>
    <xf numFmtId="0" fontId="19" fillId="5" borderId="9" xfId="55" applyFont="1" applyFill="1" applyBorder="1" applyProtection="1">
      <protection hidden="1"/>
    </xf>
    <xf numFmtId="0" fontId="19" fillId="5" borderId="43" xfId="55" applyFont="1" applyFill="1" applyBorder="1" applyAlignment="1" applyProtection="1">
      <alignment horizontal="center" vertical="center"/>
      <protection hidden="1"/>
    </xf>
    <xf numFmtId="0" fontId="19" fillId="7" borderId="20" xfId="55" applyFont="1" applyFill="1" applyBorder="1" applyAlignment="1" applyProtection="1">
      <alignment horizontal="center" vertical="center" shrinkToFit="1"/>
      <protection hidden="1"/>
    </xf>
    <xf numFmtId="0" fontId="34" fillId="7" borderId="21" xfId="55" applyFont="1" applyFill="1" applyBorder="1" applyAlignment="1" applyProtection="1">
      <alignment horizontal="center" vertical="center" shrinkToFit="1"/>
      <protection hidden="1"/>
    </xf>
    <xf numFmtId="0" fontId="34" fillId="7" borderId="42" xfId="55" applyFont="1" applyFill="1" applyBorder="1" applyAlignment="1" applyProtection="1">
      <alignment horizontal="center" vertical="center" shrinkToFit="1"/>
      <protection hidden="1"/>
    </xf>
    <xf numFmtId="197" fontId="46" fillId="5" borderId="9" xfId="55" applyNumberFormat="1" applyFont="1" applyFill="1" applyBorder="1" applyAlignment="1" applyProtection="1">
      <alignment horizontal="center" shrinkToFit="1"/>
      <protection hidden="1"/>
    </xf>
    <xf numFmtId="197" fontId="46" fillId="5" borderId="12" xfId="55" applyNumberFormat="1" applyFont="1" applyFill="1" applyBorder="1" applyAlignment="1" applyProtection="1">
      <alignment horizontal="center" shrinkToFit="1"/>
      <protection hidden="1"/>
    </xf>
    <xf numFmtId="197" fontId="46" fillId="5" borderId="43" xfId="0" applyNumberFormat="1" applyFont="1" applyFill="1" applyBorder="1" applyAlignment="1" applyProtection="1">
      <alignment horizontal="center" shrinkToFit="1"/>
      <protection hidden="1"/>
    </xf>
    <xf numFmtId="0" fontId="35" fillId="5" borderId="9" xfId="55" applyFont="1" applyFill="1" applyBorder="1" applyAlignment="1" applyProtection="1">
      <alignment horizontal="right"/>
      <protection hidden="1"/>
    </xf>
    <xf numFmtId="0" fontId="35" fillId="5" borderId="12" xfId="55" applyFont="1" applyFill="1" applyBorder="1" applyAlignment="1" applyProtection="1">
      <alignment horizontal="right"/>
      <protection hidden="1"/>
    </xf>
    <xf numFmtId="194" fontId="47" fillId="5" borderId="43" xfId="0" applyNumberFormat="1" applyFont="1" applyFill="1" applyBorder="1" applyAlignment="1" applyProtection="1">
      <alignment horizontal="center" shrinkToFit="1"/>
      <protection hidden="1"/>
    </xf>
    <xf numFmtId="0" fontId="48" fillId="5" borderId="10" xfId="55" applyFont="1" applyFill="1" applyBorder="1" applyAlignment="1" applyProtection="1">
      <alignment horizontal="right" vertical="center" shrinkToFit="1"/>
      <protection hidden="1"/>
    </xf>
    <xf numFmtId="0" fontId="48" fillId="5" borderId="0" xfId="55" applyFont="1" applyFill="1" applyBorder="1" applyAlignment="1" applyProtection="1">
      <alignment horizontal="right" vertical="center" shrinkToFit="1"/>
      <protection hidden="1"/>
    </xf>
    <xf numFmtId="194" fontId="47" fillId="5" borderId="7" xfId="55" applyNumberFormat="1" applyFont="1" applyFill="1" applyBorder="1" applyAlignment="1" applyProtection="1">
      <alignment horizontal="center" vertical="center" shrinkToFit="1"/>
      <protection hidden="1"/>
    </xf>
    <xf numFmtId="0" fontId="35" fillId="7" borderId="20" xfId="55" applyFont="1" applyFill="1" applyBorder="1" applyAlignment="1" applyProtection="1">
      <alignment horizontal="center" vertical="center" shrinkToFit="1"/>
      <protection hidden="1"/>
    </xf>
    <xf numFmtId="0" fontId="19" fillId="7" borderId="21" xfId="0" applyFont="1" applyFill="1" applyBorder="1" applyAlignment="1" applyProtection="1">
      <alignment horizontal="center" vertical="center" shrinkToFit="1"/>
      <protection hidden="1"/>
    </xf>
    <xf numFmtId="0" fontId="19" fillId="7" borderId="42" xfId="0" applyFont="1" applyFill="1" applyBorder="1" applyAlignment="1" applyProtection="1">
      <alignment horizontal="center" vertical="center" shrinkToFit="1"/>
      <protection hidden="1"/>
    </xf>
    <xf numFmtId="0" fontId="21" fillId="8" borderId="9" xfId="55" applyFont="1" applyFill="1" applyBorder="1" applyAlignment="1" applyProtection="1">
      <alignment vertical="center"/>
      <protection hidden="1"/>
    </xf>
    <xf numFmtId="0" fontId="19" fillId="8" borderId="12" xfId="55" applyFont="1" applyFill="1" applyBorder="1" applyProtection="1">
      <protection hidden="1"/>
    </xf>
    <xf numFmtId="194" fontId="46" fillId="9" borderId="43" xfId="55" applyNumberFormat="1" applyFont="1" applyFill="1" applyBorder="1" applyAlignment="1" applyProtection="1">
      <alignment horizontal="centerContinuous" vertical="center" shrinkToFit="1"/>
      <protection hidden="1"/>
    </xf>
    <xf numFmtId="0" fontId="19" fillId="8" borderId="20" xfId="55" applyFont="1" applyFill="1" applyBorder="1" applyProtection="1">
      <protection hidden="1"/>
    </xf>
    <xf numFmtId="0" fontId="19" fillId="8" borderId="21" xfId="55" applyFont="1" applyFill="1" applyBorder="1" applyProtection="1">
      <protection hidden="1"/>
    </xf>
    <xf numFmtId="196" fontId="46" fillId="9" borderId="42" xfId="55" applyNumberFormat="1" applyFont="1" applyFill="1" applyBorder="1" applyAlignment="1" applyProtection="1">
      <alignment shrinkToFit="1"/>
      <protection hidden="1"/>
    </xf>
    <xf numFmtId="0" fontId="19" fillId="8" borderId="11" xfId="55" applyFont="1" applyFill="1" applyBorder="1" applyProtection="1">
      <protection hidden="1"/>
    </xf>
    <xf numFmtId="0" fontId="19" fillId="8" borderId="13" xfId="55" applyFont="1" applyFill="1" applyBorder="1" applyAlignment="1" applyProtection="1">
      <alignment horizontal="right" vertical="center"/>
      <protection hidden="1"/>
    </xf>
    <xf numFmtId="196" fontId="49" fillId="9" borderId="41" xfId="55" applyNumberFormat="1" applyFont="1" applyFill="1" applyBorder="1" applyAlignment="1" applyProtection="1">
      <alignment horizontal="left" vertical="center" shrinkToFit="1"/>
      <protection hidden="1"/>
    </xf>
    <xf numFmtId="0" fontId="19" fillId="8" borderId="21" xfId="55" applyFont="1" applyFill="1" applyBorder="1" applyAlignment="1" applyProtection="1">
      <alignment horizontal="right" vertical="center"/>
      <protection hidden="1"/>
    </xf>
    <xf numFmtId="196" fontId="46" fillId="9" borderId="42" xfId="55" applyNumberFormat="1" applyFont="1" applyFill="1" applyBorder="1" applyAlignment="1" applyProtection="1">
      <alignment horizontal="left" vertical="center" shrinkToFit="1"/>
      <protection hidden="1"/>
    </xf>
    <xf numFmtId="0" fontId="22" fillId="5" borderId="0" xfId="55" applyFont="1" applyFill="1" applyAlignment="1" applyProtection="1">
      <alignment vertical="center"/>
      <protection hidden="1"/>
    </xf>
    <xf numFmtId="0" fontId="19" fillId="8" borderId="9" xfId="55" applyFont="1" applyFill="1" applyBorder="1" applyProtection="1">
      <protection hidden="1"/>
    </xf>
    <xf numFmtId="0" fontId="19" fillId="8" borderId="12" xfId="55" applyFont="1" applyFill="1" applyBorder="1" applyAlignment="1" applyProtection="1">
      <alignment horizontal="right"/>
      <protection hidden="1"/>
    </xf>
    <xf numFmtId="10" fontId="46" fillId="9" borderId="43" xfId="55" applyNumberFormat="1" applyFont="1" applyFill="1" applyBorder="1" applyAlignment="1" applyProtection="1">
      <alignment shrinkToFit="1"/>
      <protection hidden="1"/>
    </xf>
    <xf numFmtId="0" fontId="19" fillId="8" borderId="12" xfId="55" applyFont="1" applyFill="1" applyBorder="1" applyAlignment="1" applyProtection="1">
      <alignment horizontal="right" vertical="top"/>
      <protection hidden="1"/>
    </xf>
    <xf numFmtId="196" fontId="46" fillId="9" borderId="43" xfId="55" applyNumberFormat="1" applyFont="1" applyFill="1" applyBorder="1" applyAlignment="1" applyProtection="1">
      <alignment horizontal="left" vertical="top" shrinkToFit="1"/>
      <protection hidden="1"/>
    </xf>
    <xf numFmtId="0" fontId="19" fillId="8" borderId="11" xfId="55" applyFont="1" applyFill="1" applyBorder="1" applyAlignment="1" applyProtection="1">
      <alignment horizontal="center"/>
      <protection hidden="1"/>
    </xf>
    <xf numFmtId="0" fontId="19" fillId="8" borderId="13" xfId="0" applyFont="1" applyFill="1" applyBorder="1" applyAlignment="1" applyProtection="1">
      <alignment horizontal="center"/>
      <protection hidden="1"/>
    </xf>
    <xf numFmtId="0" fontId="50" fillId="9" borderId="41" xfId="55" applyFont="1" applyFill="1" applyBorder="1" applyAlignment="1" applyProtection="1">
      <alignment horizontal="center"/>
      <protection hidden="1"/>
    </xf>
    <xf numFmtId="0" fontId="16" fillId="5" borderId="0" xfId="0" applyFont="1" applyFill="1" applyBorder="1" applyAlignment="1"/>
    <xf numFmtId="0" fontId="16" fillId="5" borderId="7" xfId="0" applyFont="1" applyFill="1" applyBorder="1" applyAlignment="1"/>
    <xf numFmtId="0" fontId="16" fillId="5" borderId="5" xfId="0" applyFont="1" applyFill="1" applyBorder="1" applyAlignment="1"/>
    <xf numFmtId="0" fontId="16" fillId="5" borderId="8" xfId="0" applyFont="1" applyFill="1" applyBorder="1" applyAlignment="1"/>
    <xf numFmtId="0" fontId="16" fillId="5" borderId="0" xfId="55" applyFont="1" applyFill="1" applyAlignment="1" applyProtection="1">
      <alignment vertical="center" shrinkToFit="1"/>
      <protection hidden="1"/>
    </xf>
    <xf numFmtId="0" fontId="16" fillId="5" borderId="0" xfId="55" applyFont="1" applyFill="1" applyBorder="1" applyAlignment="1" applyProtection="1">
      <alignment vertical="center"/>
      <protection hidden="1"/>
    </xf>
    <xf numFmtId="198" fontId="16" fillId="5" borderId="0" xfId="55" applyNumberFormat="1" applyFont="1" applyFill="1" applyBorder="1" applyProtection="1">
      <protection locked="0"/>
    </xf>
    <xf numFmtId="0" fontId="16" fillId="5" borderId="0" xfId="55" applyNumberFormat="1" applyFont="1" applyFill="1" applyBorder="1" applyProtection="1">
      <protection locked="0"/>
    </xf>
    <xf numFmtId="198" fontId="16" fillId="5" borderId="0" xfId="55" applyNumberFormat="1" applyFont="1" applyFill="1" applyBorder="1" applyProtection="1">
      <protection hidden="1"/>
    </xf>
    <xf numFmtId="198" fontId="16" fillId="5" borderId="0" xfId="55" applyNumberFormat="1" applyFont="1" applyFill="1" applyBorder="1" applyProtection="1">
      <protection locked="0" hidden="1"/>
    </xf>
    <xf numFmtId="2" fontId="22" fillId="5" borderId="0" xfId="55" applyNumberFormat="1" applyFont="1" applyFill="1" applyBorder="1" applyAlignment="1" applyProtection="1">
      <alignment horizontal="center" vertical="center"/>
      <protection locked="0" hidden="1"/>
    </xf>
    <xf numFmtId="0" fontId="16" fillId="5" borderId="0" xfId="55" applyFont="1" applyFill="1" applyBorder="1" applyProtection="1">
      <protection locked="0" hidden="1"/>
    </xf>
    <xf numFmtId="0" fontId="16" fillId="5" borderId="0" xfId="55" applyFont="1" applyFill="1" applyBorder="1" applyProtection="1">
      <protection hidden="1"/>
    </xf>
    <xf numFmtId="0" fontId="19" fillId="8" borderId="13" xfId="55" applyFont="1" applyFill="1" applyBorder="1" applyAlignment="1" applyProtection="1" quotePrefix="1">
      <alignment horizontal="right" vertical="center"/>
      <protection hidden="1"/>
    </xf>
    <xf numFmtId="0" fontId="19" fillId="8" borderId="12" xfId="55" applyFont="1" applyFill="1" applyBorder="1" applyAlignment="1" applyProtection="1" quotePrefix="1">
      <alignment horizontal="right" vertical="top"/>
      <protection hidden="1"/>
    </xf>
    <xf numFmtId="0" fontId="8" fillId="0" borderId="0" xfId="54" applyAlignment="1" quotePrefix="1">
      <alignment horizontal="left"/>
    </xf>
    <xf numFmtId="0" fontId="10" fillId="0" borderId="0" xfId="54" applyFont="1" applyAlignment="1" applyProtection="1" quotePrefix="1">
      <alignment horizontal="centerContinuous"/>
    </xf>
    <xf numFmtId="0" fontId="11" fillId="0" borderId="9" xfId="54" applyFont="1" applyBorder="1" applyAlignment="1" applyProtection="1" quotePrefix="1">
      <alignment horizontal="right" vertical="center"/>
    </xf>
    <xf numFmtId="0" fontId="11" fillId="0" borderId="12" xfId="54" applyFont="1" applyBorder="1" applyAlignment="1" applyProtection="1" quotePrefix="1">
      <alignment horizontal="right" vertical="center"/>
    </xf>
    <xf numFmtId="0" fontId="11" fillId="0" borderId="10" xfId="54" applyFont="1" applyBorder="1" applyAlignment="1" applyProtection="1" quotePrefix="1">
      <alignment horizontal="right" vertical="center"/>
    </xf>
    <xf numFmtId="0" fontId="11" fillId="0" borderId="0" xfId="54" applyFont="1" applyBorder="1" applyAlignment="1" applyProtection="1" quotePrefix="1">
      <alignment horizontal="right" vertical="center"/>
    </xf>
    <xf numFmtId="0" fontId="11" fillId="0" borderId="0" xfId="54" applyFont="1" applyBorder="1" applyAlignment="1" applyProtection="1" quotePrefix="1">
      <alignment horizontal="right" vertical="center"/>
      <protection locked="0"/>
    </xf>
    <xf numFmtId="0" fontId="9" fillId="2" borderId="0" xfId="54" applyFont="1" applyFill="1" applyAlignment="1" quotePrefix="1">
      <alignment horizontal="left"/>
    </xf>
    <xf numFmtId="0" fontId="11" fillId="0" borderId="9" xfId="54" applyFont="1" applyBorder="1" applyAlignment="1" applyProtection="1" quotePrefix="1">
      <alignment horizontal="right"/>
    </xf>
    <xf numFmtId="0" fontId="11" fillId="0" borderId="12" xfId="54" applyFont="1" applyBorder="1" applyAlignment="1" applyProtection="1" quotePrefix="1">
      <alignment horizontal="right"/>
    </xf>
    <xf numFmtId="0" fontId="11" fillId="0" borderId="10" xfId="54" applyFont="1" applyBorder="1" applyAlignment="1" applyProtection="1" quotePrefix="1">
      <alignment horizontal="left"/>
    </xf>
    <xf numFmtId="0" fontId="11" fillId="0" borderId="10" xfId="54" applyFont="1" applyBorder="1" applyAlignment="1" quotePrefix="1">
      <alignment horizontal="left"/>
    </xf>
    <xf numFmtId="0" fontId="11" fillId="0" borderId="0" xfId="54" applyFont="1" applyBorder="1" applyAlignment="1" quotePrefix="1">
      <alignment horizontal="left"/>
    </xf>
    <xf numFmtId="0" fontId="11" fillId="0" borderId="0" xfId="54" applyFont="1" applyBorder="1" applyAlignment="1" applyProtection="1" quotePrefix="1">
      <alignment horizontal="left"/>
    </xf>
    <xf numFmtId="0" fontId="11" fillId="0" borderId="11" xfId="54" applyFont="1" applyBorder="1" applyAlignment="1" quotePrefix="1">
      <alignment horizontal="left"/>
    </xf>
    <xf numFmtId="0" fontId="13" fillId="0" borderId="0" xfId="54" applyFont="1" applyAlignment="1" quotePrefix="1">
      <alignment horizontal="left"/>
    </xf>
    <xf numFmtId="0" fontId="9" fillId="2" borderId="0" xfId="54" applyFont="1" applyFill="1" applyAlignment="1" quotePrefix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콤마 [0]_laroux" xfId="49"/>
    <cellStyle name="콤마_laroux" xfId="50"/>
    <cellStyle name="통화 [0]_laroux" xfId="51"/>
    <cellStyle name="통화_laroux" xfId="52"/>
    <cellStyle name="표준_AP" xfId="53"/>
    <cellStyle name="一般_CPK" xfId="54"/>
    <cellStyle name="一般_X-R範例檔" xfId="55"/>
  </cellStyles>
  <dxfs count="21">
    <dxf>
      <font>
        <b val="1"/>
        <i val="0"/>
        <color indexed="18"/>
      </font>
    </dxf>
    <dxf>
      <font>
        <b val="1"/>
        <i val="0"/>
        <color indexed="10"/>
      </font>
    </dxf>
    <dxf>
      <font>
        <color indexed="12"/>
      </font>
    </dxf>
    <dxf>
      <font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99CCFF"/>
      <color rgb="00003366"/>
      <color rgb="00CCFFCC"/>
      <color rgb="00C0C0C0"/>
      <color rgb="00FFCC99"/>
      <color rgb="00CCFFFF"/>
      <color rgb="0000FF00"/>
      <color rgb="000000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5"/>
          <c:y val="0.07975"/>
          <c:w val="0.9505"/>
          <c:h val="0.703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'X-R'!$C$17:$AB$17</c:f>
              <c:numCache>
                <c:formatCode>0.00</c:formatCode>
                <c:ptCount val="26"/>
                <c:pt idx="0">
                  <c:v>0.07</c:v>
                </c:pt>
                <c:pt idx="1">
                  <c:v>0.1</c:v>
                </c:pt>
                <c:pt idx="2">
                  <c:v>0.04</c:v>
                </c:pt>
                <c:pt idx="3">
                  <c:v>0.07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  <c:pt idx="7">
                  <c:v>0.07</c:v>
                </c:pt>
                <c:pt idx="8">
                  <c:v>0.07</c:v>
                </c:pt>
                <c:pt idx="9">
                  <c:v>0.05</c:v>
                </c:pt>
                <c:pt idx="10">
                  <c:v>0.06</c:v>
                </c:pt>
                <c:pt idx="11">
                  <c:v>0.04</c:v>
                </c:pt>
                <c:pt idx="12">
                  <c:v>0.08</c:v>
                </c:pt>
                <c:pt idx="13">
                  <c:v>0.05</c:v>
                </c:pt>
                <c:pt idx="14">
                  <c:v>0.06</c:v>
                </c:pt>
                <c:pt idx="15">
                  <c:v>0.07</c:v>
                </c:pt>
                <c:pt idx="16">
                  <c:v>0.06</c:v>
                </c:pt>
                <c:pt idx="17">
                  <c:v>0.02</c:v>
                </c:pt>
                <c:pt idx="18">
                  <c:v>0.08</c:v>
                </c:pt>
                <c:pt idx="19">
                  <c:v>0.03</c:v>
                </c:pt>
                <c:pt idx="20">
                  <c:v>0.06</c:v>
                </c:pt>
                <c:pt idx="21">
                  <c:v>0.07</c:v>
                </c:pt>
                <c:pt idx="22">
                  <c:v>0.09</c:v>
                </c:pt>
                <c:pt idx="23">
                  <c:v>0.02</c:v>
                </c:pt>
                <c:pt idx="24">
                  <c:v>0.07</c:v>
                </c:pt>
              </c:numCache>
            </c:numRef>
          </c:val>
          <c:smooth val="0"/>
        </c:ser>
        <c:ser>
          <c:idx val="1"/>
          <c:order val="1"/>
          <c:spPr>
            <a:ln w="127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'X-R'!$B$53:$AB$53</c:f>
              <c:numCache>
                <c:formatCode>0.00</c:formatCode>
                <c:ptCount val="27"/>
                <c:pt idx="0">
                  <c:v>0.120692</c:v>
                </c:pt>
                <c:pt idx="1">
                  <c:v>0.120692</c:v>
                </c:pt>
                <c:pt idx="2">
                  <c:v>0.120692</c:v>
                </c:pt>
                <c:pt idx="3">
                  <c:v>0.120692</c:v>
                </c:pt>
                <c:pt idx="4">
                  <c:v>0.120692</c:v>
                </c:pt>
                <c:pt idx="5">
                  <c:v>0.120692</c:v>
                </c:pt>
                <c:pt idx="6">
                  <c:v>0.120692</c:v>
                </c:pt>
                <c:pt idx="7">
                  <c:v>0.120692</c:v>
                </c:pt>
                <c:pt idx="8">
                  <c:v>0.120692</c:v>
                </c:pt>
                <c:pt idx="9">
                  <c:v>0.120692</c:v>
                </c:pt>
                <c:pt idx="10">
                  <c:v>0.120692</c:v>
                </c:pt>
                <c:pt idx="11">
                  <c:v>0.120692</c:v>
                </c:pt>
                <c:pt idx="12">
                  <c:v>0.120692</c:v>
                </c:pt>
                <c:pt idx="13">
                  <c:v>0.120692</c:v>
                </c:pt>
                <c:pt idx="14">
                  <c:v>0.120692</c:v>
                </c:pt>
                <c:pt idx="15">
                  <c:v>0.120692</c:v>
                </c:pt>
                <c:pt idx="16">
                  <c:v>0.120692</c:v>
                </c:pt>
                <c:pt idx="17">
                  <c:v>0.120692</c:v>
                </c:pt>
                <c:pt idx="18">
                  <c:v>0.120692</c:v>
                </c:pt>
                <c:pt idx="19">
                  <c:v>0.120692</c:v>
                </c:pt>
                <c:pt idx="20">
                  <c:v>0.120692</c:v>
                </c:pt>
                <c:pt idx="21">
                  <c:v>0.120692</c:v>
                </c:pt>
                <c:pt idx="22">
                  <c:v>0.120692</c:v>
                </c:pt>
                <c:pt idx="23">
                  <c:v>0.120692</c:v>
                </c:pt>
                <c:pt idx="24">
                  <c:v>0.120692</c:v>
                </c:pt>
                <c:pt idx="25">
                  <c:v>0.120692</c:v>
                </c:pt>
              </c:numCache>
            </c:numRef>
          </c:val>
          <c:smooth val="0"/>
        </c:ser>
        <c:ser>
          <c:idx val="2"/>
          <c:order val="2"/>
          <c:spPr>
            <a:ln w="12700" cap="rnd" cmpd="sng" algn="ctr">
              <a:solidFill>
                <a:srgbClr val="0000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'X-R'!$B$54:$AB$54</c:f>
              <c:numCache>
                <c:formatCode>0.00</c:formatCode>
                <c:ptCount val="27"/>
                <c:pt idx="0">
                  <c:v>0.0572</c:v>
                </c:pt>
                <c:pt idx="1">
                  <c:v>0.0572</c:v>
                </c:pt>
                <c:pt idx="2">
                  <c:v>0.0572</c:v>
                </c:pt>
                <c:pt idx="3">
                  <c:v>0.0572</c:v>
                </c:pt>
                <c:pt idx="4">
                  <c:v>0.0572</c:v>
                </c:pt>
                <c:pt idx="5">
                  <c:v>0.0572</c:v>
                </c:pt>
                <c:pt idx="6">
                  <c:v>0.0572</c:v>
                </c:pt>
                <c:pt idx="7">
                  <c:v>0.0572</c:v>
                </c:pt>
                <c:pt idx="8">
                  <c:v>0.0572</c:v>
                </c:pt>
                <c:pt idx="9">
                  <c:v>0.0572</c:v>
                </c:pt>
                <c:pt idx="10">
                  <c:v>0.0572</c:v>
                </c:pt>
                <c:pt idx="11">
                  <c:v>0.0572</c:v>
                </c:pt>
                <c:pt idx="12">
                  <c:v>0.0572</c:v>
                </c:pt>
                <c:pt idx="13">
                  <c:v>0.0572</c:v>
                </c:pt>
                <c:pt idx="14">
                  <c:v>0.0572</c:v>
                </c:pt>
                <c:pt idx="15">
                  <c:v>0.0572</c:v>
                </c:pt>
                <c:pt idx="16">
                  <c:v>0.0572</c:v>
                </c:pt>
                <c:pt idx="17">
                  <c:v>0.0572</c:v>
                </c:pt>
                <c:pt idx="18">
                  <c:v>0.0572</c:v>
                </c:pt>
                <c:pt idx="19">
                  <c:v>0.0572</c:v>
                </c:pt>
                <c:pt idx="20">
                  <c:v>0.0572</c:v>
                </c:pt>
                <c:pt idx="21">
                  <c:v>0.0572</c:v>
                </c:pt>
                <c:pt idx="22">
                  <c:v>0.0572</c:v>
                </c:pt>
                <c:pt idx="23">
                  <c:v>0.0572</c:v>
                </c:pt>
                <c:pt idx="24">
                  <c:v>0.0572</c:v>
                </c:pt>
                <c:pt idx="25">
                  <c:v>0.0572</c:v>
                </c:pt>
              </c:numCache>
            </c:numRef>
          </c:val>
          <c:smooth val="0"/>
        </c:ser>
        <c:ser>
          <c:idx val="3"/>
          <c:order val="3"/>
          <c:spPr>
            <a:ln w="127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'X-R'!$B$55:$AB$55</c:f>
              <c:numCache>
                <c:formatCode>0.00_);[Red]\(0.00\)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830552"/>
        <c:axId val="660370367"/>
      </c:lineChart>
      <c:catAx>
        <c:axId val="6668305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660370367"/>
        <c:crosses val="autoZero"/>
        <c:auto val="1"/>
        <c:lblAlgn val="ctr"/>
        <c:lblOffset val="100"/>
        <c:noMultiLvlLbl val="0"/>
      </c:catAx>
      <c:valAx>
        <c:axId val="660370367"/>
        <c:scaling>
          <c:orientation val="minMax"/>
          <c:max val="0.2"/>
        </c:scaling>
        <c:delete val="0"/>
        <c:axPos val="l"/>
        <c:numFmt formatCode="0.0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666830552"/>
        <c:crosses val="autoZero"/>
        <c:crossBetween val="midCat"/>
      </c:valAx>
      <c:spPr>
        <a:solidFill>
          <a:srgbClr val="FFFFCC">
            <a:alpha val="100000"/>
          </a:srgbClr>
        </a:solidFill>
        <a:ln w="25400">
          <a:solidFill>
            <a:srgbClr val="000000">
              <a:alpha val="100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550" b="0" i="0" u="none" strike="noStrike" baseline="0">
          <a:solidFill>
            <a:srgbClr val="000000"/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425"/>
          <c:y val="0.0765"/>
          <c:w val="0.9465"/>
          <c:h val="0.71525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'X-R'!$C$16:$AB$16</c:f>
              <c:numCache>
                <c:formatCode>0.00</c:formatCode>
                <c:ptCount val="26"/>
                <c:pt idx="0">
                  <c:v>0.216</c:v>
                </c:pt>
                <c:pt idx="1">
                  <c:v>0.172</c:v>
                </c:pt>
                <c:pt idx="2">
                  <c:v>0.198</c:v>
                </c:pt>
                <c:pt idx="3">
                  <c:v>0.202</c:v>
                </c:pt>
                <c:pt idx="4">
                  <c:v>0.18</c:v>
                </c:pt>
                <c:pt idx="5">
                  <c:v>0.184</c:v>
                </c:pt>
                <c:pt idx="6">
                  <c:v>0.176</c:v>
                </c:pt>
                <c:pt idx="7">
                  <c:v>0.206</c:v>
                </c:pt>
                <c:pt idx="8">
                  <c:v>0.218</c:v>
                </c:pt>
                <c:pt idx="9">
                  <c:v>0.176</c:v>
                </c:pt>
                <c:pt idx="10">
                  <c:v>0.204</c:v>
                </c:pt>
                <c:pt idx="11">
                  <c:v>0.218</c:v>
                </c:pt>
                <c:pt idx="12">
                  <c:v>0.188</c:v>
                </c:pt>
                <c:pt idx="13">
                  <c:v>0.224</c:v>
                </c:pt>
                <c:pt idx="14">
                  <c:v>0.222</c:v>
                </c:pt>
                <c:pt idx="15">
                  <c:v>0.18</c:v>
                </c:pt>
                <c:pt idx="16">
                  <c:v>0.22</c:v>
                </c:pt>
                <c:pt idx="17">
                  <c:v>0.192</c:v>
                </c:pt>
                <c:pt idx="18">
                  <c:v>0.216</c:v>
                </c:pt>
                <c:pt idx="19">
                  <c:v>0.18</c:v>
                </c:pt>
                <c:pt idx="20">
                  <c:v>0.218</c:v>
                </c:pt>
                <c:pt idx="21">
                  <c:v>0.212</c:v>
                </c:pt>
                <c:pt idx="22">
                  <c:v>0.19</c:v>
                </c:pt>
                <c:pt idx="23">
                  <c:v>0.204</c:v>
                </c:pt>
                <c:pt idx="24">
                  <c:v>0.194</c:v>
                </c:pt>
              </c:numCache>
            </c:numRef>
          </c:val>
          <c:smooth val="0"/>
        </c:ser>
        <c:ser>
          <c:idx val="1"/>
          <c:order val="1"/>
          <c:spPr>
            <a:ln w="127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'X-R'!$B$43:$AB$43</c:f>
              <c:numCache>
                <c:formatCode>0.00</c:formatCode>
                <c:ptCount val="27"/>
                <c:pt idx="0">
                  <c:v>0.231709333333333</c:v>
                </c:pt>
                <c:pt idx="1">
                  <c:v>0.231709333333333</c:v>
                </c:pt>
                <c:pt idx="2">
                  <c:v>0.231709333333333</c:v>
                </c:pt>
                <c:pt idx="3">
                  <c:v>0.231709333333333</c:v>
                </c:pt>
                <c:pt idx="4">
                  <c:v>0.231709333333333</c:v>
                </c:pt>
                <c:pt idx="5">
                  <c:v>0.231709333333333</c:v>
                </c:pt>
                <c:pt idx="6">
                  <c:v>0.231709333333333</c:v>
                </c:pt>
                <c:pt idx="7">
                  <c:v>0.231709333333333</c:v>
                </c:pt>
                <c:pt idx="8">
                  <c:v>0.231709333333333</c:v>
                </c:pt>
                <c:pt idx="9">
                  <c:v>0.231709333333333</c:v>
                </c:pt>
                <c:pt idx="10">
                  <c:v>0.231709333333333</c:v>
                </c:pt>
                <c:pt idx="11">
                  <c:v>0.231709333333333</c:v>
                </c:pt>
                <c:pt idx="12">
                  <c:v>0.231709333333333</c:v>
                </c:pt>
                <c:pt idx="13">
                  <c:v>0.231709333333333</c:v>
                </c:pt>
                <c:pt idx="14">
                  <c:v>0.231709333333333</c:v>
                </c:pt>
                <c:pt idx="15">
                  <c:v>0.231709333333333</c:v>
                </c:pt>
                <c:pt idx="16">
                  <c:v>0.231709333333333</c:v>
                </c:pt>
                <c:pt idx="17">
                  <c:v>0.231709333333333</c:v>
                </c:pt>
                <c:pt idx="18">
                  <c:v>0.231709333333333</c:v>
                </c:pt>
                <c:pt idx="19">
                  <c:v>0.231709333333333</c:v>
                </c:pt>
                <c:pt idx="20">
                  <c:v>0.231709333333333</c:v>
                </c:pt>
                <c:pt idx="21">
                  <c:v>0.231709333333333</c:v>
                </c:pt>
                <c:pt idx="22">
                  <c:v>0.231709333333333</c:v>
                </c:pt>
                <c:pt idx="23">
                  <c:v>0.231709333333333</c:v>
                </c:pt>
                <c:pt idx="24">
                  <c:v>0.231709333333333</c:v>
                </c:pt>
                <c:pt idx="25">
                  <c:v>0.231709333333333</c:v>
                </c:pt>
              </c:numCache>
            </c:numRef>
          </c:val>
          <c:smooth val="0"/>
        </c:ser>
        <c:ser>
          <c:idx val="2"/>
          <c:order val="2"/>
          <c:spPr>
            <a:ln w="12700" cap="rnd" cmpd="sng" algn="ctr">
              <a:solidFill>
                <a:srgbClr val="FFFF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'X-R'!$B$44:$AB$44</c:f>
              <c:numCache>
                <c:formatCode>0.00</c:formatCode>
                <c:ptCount val="27"/>
                <c:pt idx="0">
                  <c:v>0.198533333333333</c:v>
                </c:pt>
                <c:pt idx="1">
                  <c:v>0.198533333333333</c:v>
                </c:pt>
                <c:pt idx="2">
                  <c:v>0.198533333333333</c:v>
                </c:pt>
                <c:pt idx="3">
                  <c:v>0.198533333333333</c:v>
                </c:pt>
                <c:pt idx="4">
                  <c:v>0.198533333333333</c:v>
                </c:pt>
                <c:pt idx="5">
                  <c:v>0.198533333333333</c:v>
                </c:pt>
                <c:pt idx="6">
                  <c:v>0.198533333333333</c:v>
                </c:pt>
                <c:pt idx="7">
                  <c:v>0.198533333333333</c:v>
                </c:pt>
                <c:pt idx="8">
                  <c:v>0.198533333333333</c:v>
                </c:pt>
                <c:pt idx="9">
                  <c:v>0.198533333333333</c:v>
                </c:pt>
                <c:pt idx="10">
                  <c:v>0.198533333333333</c:v>
                </c:pt>
                <c:pt idx="11">
                  <c:v>0.198533333333333</c:v>
                </c:pt>
                <c:pt idx="12">
                  <c:v>0.198533333333333</c:v>
                </c:pt>
                <c:pt idx="13">
                  <c:v>0.198533333333333</c:v>
                </c:pt>
                <c:pt idx="14">
                  <c:v>0.198533333333333</c:v>
                </c:pt>
                <c:pt idx="15">
                  <c:v>0.198533333333333</c:v>
                </c:pt>
                <c:pt idx="16">
                  <c:v>0.198533333333333</c:v>
                </c:pt>
                <c:pt idx="17">
                  <c:v>0.198533333333333</c:v>
                </c:pt>
                <c:pt idx="18">
                  <c:v>0.198533333333333</c:v>
                </c:pt>
                <c:pt idx="19">
                  <c:v>0.198533333333333</c:v>
                </c:pt>
                <c:pt idx="20">
                  <c:v>0.198533333333333</c:v>
                </c:pt>
                <c:pt idx="21">
                  <c:v>0.198533333333333</c:v>
                </c:pt>
                <c:pt idx="22">
                  <c:v>0.198533333333333</c:v>
                </c:pt>
                <c:pt idx="23">
                  <c:v>0.198533333333333</c:v>
                </c:pt>
                <c:pt idx="24">
                  <c:v>0.198533333333333</c:v>
                </c:pt>
                <c:pt idx="25">
                  <c:v>0.198533333333333</c:v>
                </c:pt>
              </c:numCache>
            </c:numRef>
          </c:val>
          <c:smooth val="0"/>
        </c:ser>
        <c:ser>
          <c:idx val="3"/>
          <c:order val="3"/>
          <c:spPr>
            <a:ln w="127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'X-R'!$C$8:$AB$8</c:f>
              <c:numCache>
                <c:formatCode>@</c:formatCode>
                <c:ptCount val="26"/>
                <c:pt idx="0" c:formatCode="@">
                  <c:v>1</c:v>
                </c:pt>
                <c:pt idx="1" c:formatCode="@">
                  <c:v>2</c:v>
                </c:pt>
                <c:pt idx="2" c:formatCode="@">
                  <c:v>3</c:v>
                </c:pt>
                <c:pt idx="3" c:formatCode="@">
                  <c:v>4</c:v>
                </c:pt>
                <c:pt idx="4" c:formatCode="@">
                  <c:v>5</c:v>
                </c:pt>
                <c:pt idx="5" c:formatCode="@">
                  <c:v>6</c:v>
                </c:pt>
                <c:pt idx="6" c:formatCode="@">
                  <c:v>7</c:v>
                </c:pt>
                <c:pt idx="7" c:formatCode="@">
                  <c:v>8</c:v>
                </c:pt>
                <c:pt idx="8" c:formatCode="@">
                  <c:v>9</c:v>
                </c:pt>
                <c:pt idx="9" c:formatCode="@">
                  <c:v>10</c:v>
                </c:pt>
                <c:pt idx="10" c:formatCode="@">
                  <c:v>11</c:v>
                </c:pt>
                <c:pt idx="11" c:formatCode="@">
                  <c:v>12</c:v>
                </c:pt>
                <c:pt idx="12" c:formatCode="@">
                  <c:v>13</c:v>
                </c:pt>
                <c:pt idx="13" c:formatCode="@">
                  <c:v>14</c:v>
                </c:pt>
                <c:pt idx="14" c:formatCode="@">
                  <c:v>15</c:v>
                </c:pt>
                <c:pt idx="15" c:formatCode="@">
                  <c:v>16</c:v>
                </c:pt>
                <c:pt idx="16" c:formatCode="@">
                  <c:v>17</c:v>
                </c:pt>
                <c:pt idx="17" c:formatCode="@">
                  <c:v>18</c:v>
                </c:pt>
                <c:pt idx="18" c:formatCode="@">
                  <c:v>19</c:v>
                </c:pt>
                <c:pt idx="19" c:formatCode="@">
                  <c:v>20</c:v>
                </c:pt>
                <c:pt idx="20" c:formatCode="@">
                  <c:v>21</c:v>
                </c:pt>
                <c:pt idx="21" c:formatCode="@">
                  <c:v>22</c:v>
                </c:pt>
                <c:pt idx="22" c:formatCode="@">
                  <c:v>23</c:v>
                </c:pt>
                <c:pt idx="23" c:formatCode="@">
                  <c:v>24</c:v>
                </c:pt>
                <c:pt idx="24" c:formatCode="@">
                  <c:v>25</c:v>
                </c:pt>
              </c:numCache>
            </c:numRef>
          </c:cat>
          <c:val>
            <c:numRef>
              <c:f>'X-R'!$B$45:$AA$45</c:f>
              <c:numCache>
                <c:formatCode>0.00_);[Red]\(0.00\)</c:formatCode>
                <c:ptCount val="26"/>
                <c:pt idx="0">
                  <c:v>0.165357333333333</c:v>
                </c:pt>
                <c:pt idx="1">
                  <c:v>0.165357333333333</c:v>
                </c:pt>
                <c:pt idx="2">
                  <c:v>0.165357333333333</c:v>
                </c:pt>
                <c:pt idx="3">
                  <c:v>0.165357333333333</c:v>
                </c:pt>
                <c:pt idx="4">
                  <c:v>0.165357333333333</c:v>
                </c:pt>
                <c:pt idx="5">
                  <c:v>0.165357333333333</c:v>
                </c:pt>
                <c:pt idx="6">
                  <c:v>0.165357333333333</c:v>
                </c:pt>
                <c:pt idx="7">
                  <c:v>0.165357333333333</c:v>
                </c:pt>
                <c:pt idx="8">
                  <c:v>0.165357333333333</c:v>
                </c:pt>
                <c:pt idx="9">
                  <c:v>0.165357333333333</c:v>
                </c:pt>
                <c:pt idx="10">
                  <c:v>0.165357333333333</c:v>
                </c:pt>
                <c:pt idx="11">
                  <c:v>0.165357333333333</c:v>
                </c:pt>
                <c:pt idx="12">
                  <c:v>0.165357333333333</c:v>
                </c:pt>
                <c:pt idx="13">
                  <c:v>0.165357333333333</c:v>
                </c:pt>
                <c:pt idx="14">
                  <c:v>0.165357333333333</c:v>
                </c:pt>
                <c:pt idx="15">
                  <c:v>0.165357333333333</c:v>
                </c:pt>
                <c:pt idx="16">
                  <c:v>0.165357333333333</c:v>
                </c:pt>
                <c:pt idx="17">
                  <c:v>0.165357333333333</c:v>
                </c:pt>
                <c:pt idx="18">
                  <c:v>0.165357333333333</c:v>
                </c:pt>
                <c:pt idx="19">
                  <c:v>0.165357333333333</c:v>
                </c:pt>
                <c:pt idx="20">
                  <c:v>0.165357333333333</c:v>
                </c:pt>
                <c:pt idx="21">
                  <c:v>0.165357333333333</c:v>
                </c:pt>
                <c:pt idx="22">
                  <c:v>0.165357333333333</c:v>
                </c:pt>
                <c:pt idx="23">
                  <c:v>0.165357333333333</c:v>
                </c:pt>
                <c:pt idx="24">
                  <c:v>0.165357333333333</c:v>
                </c:pt>
                <c:pt idx="25">
                  <c:v>0.165357333333333</c:v>
                </c:pt>
              </c:numCache>
            </c:numRef>
          </c:val>
          <c:smooth val="0"/>
        </c:ser>
        <c:ser>
          <c:idx val="4"/>
          <c:order val="4"/>
          <c:spPr>
            <a:ln w="12700" cap="rnd" cmpd="sng" algn="ctr">
              <a:solidFill>
                <a:srgbClr val="0000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'X-R'!$B$57:$AB$57</c:f>
              <c:numCache>
                <c:formatCode>0.00_ </c:formatCode>
                <c:ptCount val="2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</c:numCache>
            </c:numRef>
          </c:val>
          <c:smooth val="0"/>
        </c:ser>
        <c:ser>
          <c:idx val="5"/>
          <c:order val="5"/>
          <c:spPr>
            <a:ln w="12700" cap="rnd" cmpd="sng" algn="ctr">
              <a:solidFill>
                <a:srgbClr val="0000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'X-R'!$B$58:$AB$58</c:f>
              <c:numCache>
                <c:formatCode>0.00_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040522"/>
        <c:axId val="776732360"/>
      </c:lineChart>
      <c:catAx>
        <c:axId val="57504052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776732360"/>
        <c:crosses val="autoZero"/>
        <c:auto val="1"/>
        <c:lblAlgn val="ctr"/>
        <c:lblOffset val="100"/>
        <c:noMultiLvlLbl val="0"/>
      </c:catAx>
      <c:valAx>
        <c:axId val="776732360"/>
        <c:scaling>
          <c:orientation val="minMax"/>
          <c:max val="0.3"/>
          <c:min val="0"/>
        </c:scaling>
        <c:delete val="0"/>
        <c:axPos val="l"/>
        <c:numFmt formatCode="0.000;[Red]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575040522"/>
        <c:crosses val="autoZero"/>
        <c:crossBetween val="midCat"/>
        <c:majorUnit val="0.05"/>
      </c:valAx>
      <c:spPr>
        <a:solidFill>
          <a:srgbClr val="CCFFFF">
            <a:alpha val="100000"/>
          </a:srgbClr>
        </a:solidFill>
        <a:ln w="25400">
          <a:solidFill>
            <a:srgbClr val="000000">
              <a:alpha val="100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550" b="0" i="0" u="none" strike="noStrike" baseline="0">
          <a:solidFill>
            <a:srgbClr val="000000"/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25"/>
          <c:y val="0.13625"/>
          <c:w val="0.87025"/>
          <c:h val="0.7115"/>
        </c:manualLayout>
      </c:layout>
      <c:barChart>
        <c:barDir val="col"/>
        <c:grouping val="clustered"/>
        <c:varyColors val="1"/>
        <c:ser>
          <c:idx val="2"/>
          <c:order val="2"/>
          <c:tx>
            <c:strRef>
              <c:f>CPK!$AH$4</c:f>
              <c:strCache>
                <c:ptCount val="1"/>
                <c:pt idx="0">
                  <c:v>頻率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333333">
                  <a:alpha val="100000"/>
                </a:srgbClr>
              </a:solidFill>
              <a:prstDash val="solid"/>
            </a:ln>
            <a:effectLst>
              <a:outerShdw dist="35921" dir="2700000" algn="br" rotWithShape="0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1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9999FF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2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800080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3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00FF00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4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008080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FF0000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0000FF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008000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FF00FF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explosion val="0"/>
            <c:spPr>
              <a:gradFill>
                <a:gsLst>
                  <a:gs pos="0">
                    <a:srgbClr val="FFFFFF"/>
                  </a:gs>
                  <a:gs pos="100000">
                    <a:srgbClr val="FF8080"/>
                  </a:gs>
                </a:gsLst>
                <a:lin ang="2700000" scaled="1"/>
              </a:gradFill>
              <a:ln w="12700">
                <a:solidFill>
                  <a:srgbClr val="333333">
                    <a:alpha val="100000"/>
                  </a:srgbClr>
                </a:solidFill>
                <a:prstDash val="solid"/>
              </a:ln>
              <a:effectLst>
                <a:outerShdw dist="35921" dir="2700000" algn="br" rotWithShape="0">
                  <a:srgbClr val="000000"/>
                </a:outerShdw>
              </a:effectLst>
            </c:spPr>
          </c:dPt>
          <c:dLbls>
            <c:delete val="1"/>
          </c:dLbls>
          <c:cat>
            <c:strRef>
              <c:f>CPK!$AG$6:$AG$16</c:f>
              <c:strCache>
                <c:ptCount val="11"/>
                <c:pt idx="0" c:formatCode="0.00000_);[Red]\(0.00000\)">
                  <c:v>0.01773 </c:v>
                </c:pt>
                <c:pt idx="1" c:formatCode="0.00000_);[Red]\(0.00000\)">
                  <c:v>0.04773 </c:v>
                </c:pt>
                <c:pt idx="2" c:formatCode="0.00000_);[Red]\(0.00000\)">
                  <c:v>0.07773 </c:v>
                </c:pt>
                <c:pt idx="3" c:formatCode="0.00000_);[Red]\(0.00000\)">
                  <c:v>0.10773 </c:v>
                </c:pt>
                <c:pt idx="4" c:formatCode="0.00000_);[Red]\(0.00000\)">
                  <c:v>0.13773 </c:v>
                </c:pt>
                <c:pt idx="5" c:formatCode="0.00000_);[Red]\(0.00000\)">
                  <c:v>0.16773 </c:v>
                </c:pt>
                <c:pt idx="6" c:formatCode="0.00000_);[Red]\(0.00000\)">
                  <c:v>0.19773 </c:v>
                </c:pt>
                <c:pt idx="7" c:formatCode="0.00000_);[Red]\(0.00000\)">
                  <c:v>0.22773 </c:v>
                </c:pt>
                <c:pt idx="8" c:formatCode="0.00000_);[Red]\(0.00000\)">
                  <c:v>0.25773 </c:v>
                </c:pt>
                <c:pt idx="9" c:formatCode="0.00000_);[Red]\(0.00000\)">
                  <c:v>0.28773 </c:v>
                </c:pt>
                <c:pt idx="10">
                  <c:v>其他</c:v>
                </c:pt>
              </c:strCache>
            </c:strRef>
          </c:cat>
          <c:val>
            <c:numRef>
              <c:f>CPK!$AH$6:$AH$16</c:f>
              <c:numCache>
                <c:formatCode>0_);[Red]\(0\)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12</c:v>
                </c:pt>
                <c:pt idx="6">
                  <c:v>45</c:v>
                </c:pt>
                <c:pt idx="7">
                  <c:v>41</c:v>
                </c:pt>
                <c:pt idx="8">
                  <c:v>24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305066320"/>
        <c:axId val="618241392"/>
      </c:barChart>
      <c:scatterChart>
        <c:scatterStyle val="line"/>
        <c:varyColors val="0"/>
        <c:ser>
          <c:idx val="0"/>
          <c:order val="0"/>
          <c:tx>
            <c:strRef>
              <c:f>CPK!$AK$4</c:f>
              <c:strCache>
                <c:ptCount val="1"/>
                <c:pt idx="0">
                  <c:v>X</c:v>
                </c:pt>
              </c:strCache>
            </c:strRef>
          </c:tx>
          <c:spPr>
            <a:ln w="254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CPK!$AK$5:$AK$55</c:f>
              <c:numCache>
                <c:formatCode>0.000_);[Red]\(0.000\)</c:formatCode>
                <c:ptCount val="51"/>
                <c:pt idx="0">
                  <c:v>-0.012274678111588</c:v>
                </c:pt>
                <c:pt idx="1">
                  <c:v>-0.006274678111588</c:v>
                </c:pt>
                <c:pt idx="2">
                  <c:v>-0.000274678111588</c:v>
                </c:pt>
                <c:pt idx="3">
                  <c:v>0.005725321888412</c:v>
                </c:pt>
                <c:pt idx="4">
                  <c:v>0.011725321888412</c:v>
                </c:pt>
                <c:pt idx="5">
                  <c:v>0.017725321888412</c:v>
                </c:pt>
                <c:pt idx="6">
                  <c:v>0.023725321888412</c:v>
                </c:pt>
                <c:pt idx="7">
                  <c:v>0.029725321888412</c:v>
                </c:pt>
                <c:pt idx="8">
                  <c:v>0.035725321888412</c:v>
                </c:pt>
                <c:pt idx="9">
                  <c:v>0.041725321888412</c:v>
                </c:pt>
                <c:pt idx="10">
                  <c:v>0.047725321888412</c:v>
                </c:pt>
                <c:pt idx="11">
                  <c:v>0.053725321888412</c:v>
                </c:pt>
                <c:pt idx="12">
                  <c:v>0.059725321888412</c:v>
                </c:pt>
                <c:pt idx="13">
                  <c:v>0.065725321888412</c:v>
                </c:pt>
                <c:pt idx="14">
                  <c:v>0.071725321888412</c:v>
                </c:pt>
                <c:pt idx="15">
                  <c:v>0.077725321888412</c:v>
                </c:pt>
                <c:pt idx="16">
                  <c:v>0.083725321888412</c:v>
                </c:pt>
                <c:pt idx="17">
                  <c:v>0.089725321888412</c:v>
                </c:pt>
                <c:pt idx="18">
                  <c:v>0.095725321888412</c:v>
                </c:pt>
                <c:pt idx="19">
                  <c:v>0.101725321888412</c:v>
                </c:pt>
                <c:pt idx="20">
                  <c:v>0.107725321888412</c:v>
                </c:pt>
                <c:pt idx="21">
                  <c:v>0.113725321888412</c:v>
                </c:pt>
                <c:pt idx="22">
                  <c:v>0.119725321888412</c:v>
                </c:pt>
                <c:pt idx="23">
                  <c:v>0.125725321888412</c:v>
                </c:pt>
                <c:pt idx="24">
                  <c:v>0.131725321888412</c:v>
                </c:pt>
                <c:pt idx="25">
                  <c:v>0.137725321888412</c:v>
                </c:pt>
                <c:pt idx="26">
                  <c:v>0.143725321888412</c:v>
                </c:pt>
                <c:pt idx="27">
                  <c:v>0.149725321888412</c:v>
                </c:pt>
                <c:pt idx="28">
                  <c:v>0.155725321888412</c:v>
                </c:pt>
                <c:pt idx="29">
                  <c:v>0.161725321888412</c:v>
                </c:pt>
                <c:pt idx="30">
                  <c:v>0.167725321888412</c:v>
                </c:pt>
                <c:pt idx="31">
                  <c:v>0.173725321888412</c:v>
                </c:pt>
                <c:pt idx="32">
                  <c:v>0.179725321888412</c:v>
                </c:pt>
                <c:pt idx="33">
                  <c:v>0.185725321888412</c:v>
                </c:pt>
                <c:pt idx="34">
                  <c:v>0.191725321888412</c:v>
                </c:pt>
                <c:pt idx="35">
                  <c:v>0.197725321888412</c:v>
                </c:pt>
                <c:pt idx="36">
                  <c:v>0.203725321888412</c:v>
                </c:pt>
                <c:pt idx="37">
                  <c:v>0.209725321888412</c:v>
                </c:pt>
                <c:pt idx="38">
                  <c:v>0.215725321888412</c:v>
                </c:pt>
                <c:pt idx="39">
                  <c:v>0.221725321888412</c:v>
                </c:pt>
                <c:pt idx="40">
                  <c:v>0.227725321888412</c:v>
                </c:pt>
                <c:pt idx="41">
                  <c:v>0.233725321888412</c:v>
                </c:pt>
                <c:pt idx="42">
                  <c:v>0.239725321888412</c:v>
                </c:pt>
                <c:pt idx="43">
                  <c:v>0.245725321888412</c:v>
                </c:pt>
                <c:pt idx="44">
                  <c:v>0.251725321888412</c:v>
                </c:pt>
                <c:pt idx="45">
                  <c:v>0.257725321888412</c:v>
                </c:pt>
                <c:pt idx="46">
                  <c:v>0.263725321888412</c:v>
                </c:pt>
                <c:pt idx="47">
                  <c:v>0.269725321888412</c:v>
                </c:pt>
                <c:pt idx="48">
                  <c:v>0.275725321888412</c:v>
                </c:pt>
                <c:pt idx="49">
                  <c:v>0.281725321888412</c:v>
                </c:pt>
                <c:pt idx="50">
                  <c:v>0.287725321888412</c:v>
                </c:pt>
              </c:numCache>
            </c:numRef>
          </c:xVal>
          <c:yVal>
            <c:numRef>
              <c:f>CPK!$AL$5:$AL$55</c:f>
              <c:numCache>
                <c:formatCode>General</c:formatCode>
                <c:ptCount val="51"/>
                <c:pt idx="0">
                  <c:v>5.92652523167693e-15</c:v>
                </c:pt>
                <c:pt idx="1">
                  <c:v>4.69136484669224e-14</c:v>
                </c:pt>
                <c:pt idx="2">
                  <c:v>3.4982922920997e-13</c:v>
                </c:pt>
                <c:pt idx="3">
                  <c:v>2.45737134326203e-12</c:v>
                </c:pt>
                <c:pt idx="4">
                  <c:v>1.62608520360925e-11</c:v>
                </c:pt>
                <c:pt idx="5">
                  <c:v>1.01361637728667e-10</c:v>
                </c:pt>
                <c:pt idx="6">
                  <c:v>5.95198396096909e-10</c:v>
                </c:pt>
                <c:pt idx="7">
                  <c:v>3.29236288982223e-9</c:v>
                </c:pt>
                <c:pt idx="8">
                  <c:v>1.71558190075038e-8</c:v>
                </c:pt>
                <c:pt idx="9">
                  <c:v>8.42118146927229e-8</c:v>
                </c:pt>
                <c:pt idx="10">
                  <c:v>3.8939682738988e-7</c:v>
                </c:pt>
                <c:pt idx="11">
                  <c:v>1.69617088331544e-6</c:v>
                </c:pt>
                <c:pt idx="12">
                  <c:v>6.95992582432243e-6</c:v>
                </c:pt>
                <c:pt idx="13">
                  <c:v>2.69027967656461e-5</c:v>
                </c:pt>
                <c:pt idx="14">
                  <c:v>9.79598390369347e-5</c:v>
                </c:pt>
                <c:pt idx="15">
                  <c:v>0.000336013330438424</c:v>
                </c:pt>
                <c:pt idx="16">
                  <c:v>0.00108573231466285</c:v>
                </c:pt>
                <c:pt idx="17">
                  <c:v>0.00330481256363126</c:v>
                </c:pt>
                <c:pt idx="18">
                  <c:v>0.00947607991017659</c:v>
                </c:pt>
                <c:pt idx="19">
                  <c:v>0.0255957823260628</c:v>
                </c:pt>
                <c:pt idx="20">
                  <c:v>0.0651277259443671</c:v>
                </c:pt>
                <c:pt idx="21">
                  <c:v>0.156106588416844</c:v>
                </c:pt>
                <c:pt idx="22">
                  <c:v>0.352479905568425</c:v>
                </c:pt>
                <c:pt idx="23">
                  <c:v>0.749730720481432</c:v>
                </c:pt>
                <c:pt idx="24">
                  <c:v>1.50222180673633</c:v>
                </c:pt>
                <c:pt idx="25">
                  <c:v>2.8354410977117</c:v>
                </c:pt>
                <c:pt idx="26">
                  <c:v>5.04156081130081</c:v>
                </c:pt>
                <c:pt idx="27">
                  <c:v>8.44436899552843</c:v>
                </c:pt>
                <c:pt idx="28">
                  <c:v>13.3237724614575</c:v>
                </c:pt>
                <c:pt idx="29">
                  <c:v>19.8036400741953</c:v>
                </c:pt>
                <c:pt idx="30">
                  <c:v>27.7281346330362</c:v>
                </c:pt>
                <c:pt idx="31">
                  <c:v>36.5724534623311</c:v>
                </c:pt>
                <c:pt idx="32">
                  <c:v>45.4407352861715</c:v>
                </c:pt>
                <c:pt idx="33">
                  <c:v>53.1856433210919</c:v>
                </c:pt>
                <c:pt idx="34">
                  <c:v>58.6409902722702</c:v>
                </c:pt>
                <c:pt idx="35">
                  <c:v>60.9068286534409</c:v>
                </c:pt>
                <c:pt idx="36">
                  <c:v>59.5920726169995</c:v>
                </c:pt>
                <c:pt idx="37">
                  <c:v>54.9248407535436</c:v>
                </c:pt>
                <c:pt idx="38">
                  <c:v>47.6877612700917</c:v>
                </c:pt>
                <c:pt idx="39">
                  <c:v>39.0034366762902</c:v>
                </c:pt>
                <c:pt idx="40">
                  <c:v>30.0508408384275</c:v>
                </c:pt>
                <c:pt idx="41">
                  <c:v>21.810629159116</c:v>
                </c:pt>
                <c:pt idx="42">
                  <c:v>14.9120575563684</c:v>
                </c:pt>
                <c:pt idx="43">
                  <c:v>9.60427885936867</c:v>
                </c:pt>
                <c:pt idx="44">
                  <c:v>5.8270636718127</c:v>
                </c:pt>
                <c:pt idx="45">
                  <c:v>3.33037070959382</c:v>
                </c:pt>
                <c:pt idx="46">
                  <c:v>1.79305332401178</c:v>
                </c:pt>
                <c:pt idx="47">
                  <c:v>0.909393079120672</c:v>
                </c:pt>
                <c:pt idx="48">
                  <c:v>0.434478105841311</c:v>
                </c:pt>
                <c:pt idx="49">
                  <c:v>0.195542858932857</c:v>
                </c:pt>
                <c:pt idx="50">
                  <c:v>0.0829036853614174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CPK!$AO$4</c:f>
              <c:strCache>
                <c:ptCount val="1"/>
                <c:pt idx="0">
                  <c:v/>
                </c:pt>
              </c:strCache>
            </c:strRef>
          </c:tx>
          <c:spPr>
            <a:ln w="12700" cap="rnd" cmpd="sng" algn="ctr">
              <a:solidFill>
                <a:srgbClr val="0000FF">
                  <a:alpha val="100000"/>
                </a:srgbClr>
              </a:solidFill>
              <a:prstDash val="sysDash"/>
              <a:round/>
            </a:ln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plosion val="0"/>
            <c:spPr>
              <a:ln w="12700" cap="rnd" cmpd="sng" algn="ctr">
                <a:solidFill>
                  <a:srgbClr val="000080">
                    <a:alpha val="100000"/>
                  </a:srgbClr>
                </a:solidFill>
                <a:prstDash val="sysDash"/>
                <a:round/>
              </a:ln>
            </c:spPr>
          </c:dPt>
          <c:dPt>
            <c:idx val="10"/>
            <c:marker>
              <c:symbol val="circle"/>
              <c:size val="8"/>
              <c:spPr>
                <a:solidFill>
                  <a:srgbClr val="339966">
                    <a:alpha val="100000"/>
                  </a:srgbClr>
                </a:solidFill>
                <a:ln w="6350" cap="flat" cmpd="sng" algn="ctr">
                  <a:solidFill>
                    <a:srgbClr val="339966">
                      <a:alpha val="100000"/>
                    </a:srgbClr>
                  </a:solidFill>
                  <a:prstDash val="solid"/>
                  <a:round/>
                </a:ln>
              </c:spPr>
            </c:marker>
            <c:bubble3D val="0"/>
            <c:explosion val="0"/>
            <c:spPr>
              <a:ln w="38100" cap="rnd" cmpd="sng" algn="ctr">
                <a:solidFill>
                  <a:srgbClr val="800000">
                    <a:alpha val="100000"/>
                  </a:srgbClr>
                </a:solidFill>
                <a:prstDash val="solid"/>
                <a:round/>
              </a:ln>
            </c:spPr>
          </c:dPt>
          <c:dPt>
            <c:idx val="13"/>
            <c:marker>
              <c:symbol val="none"/>
            </c:marker>
            <c:bubble3D val="0"/>
            <c:explosion val="0"/>
          </c:dPt>
          <c:dPt>
            <c:idx val="19"/>
            <c:marker>
              <c:symbol val="none"/>
            </c:marker>
            <c:bubble3D val="0"/>
            <c:explosion val="0"/>
            <c:spPr>
              <a:ln w="12700" cap="rnd" cmpd="sng" algn="ctr">
                <a:solidFill>
                  <a:srgbClr val="000080">
                    <a:alpha val="100000"/>
                  </a:srgbClr>
                </a:solidFill>
                <a:prstDash val="sysDash"/>
                <a:round/>
              </a:ln>
            </c:spPr>
          </c:dPt>
          <c:dPt>
            <c:idx val="22"/>
            <c:marker>
              <c:symbol val="triangle"/>
              <c:size val="8"/>
              <c:spPr>
                <a:solidFill>
                  <a:srgbClr val="FF00FF">
                    <a:alpha val="100000"/>
                  </a:srgbClr>
                </a:solidFill>
                <a:ln w="6350" cap="flat" cmpd="sng" algn="ctr">
                  <a:solidFill>
                    <a:srgbClr val="FF00FF">
                      <a:alpha val="100000"/>
                    </a:srgbClr>
                  </a:solidFill>
                  <a:prstDash val="solid"/>
                  <a:round/>
                </a:ln>
              </c:spPr>
            </c:marker>
            <c:bubble3D val="0"/>
            <c:explosion val="0"/>
            <c:spPr>
              <a:ln w="38100" cap="rnd" cmpd="sng" algn="ctr">
                <a:solidFill>
                  <a:srgbClr val="800000">
                    <a:alpha val="100000"/>
                  </a:srgbClr>
                </a:solidFill>
                <a:prstDash val="solid"/>
                <a:round/>
              </a:ln>
            </c:spPr>
          </c:dPt>
          <c:dPt>
            <c:idx val="25"/>
            <c:marker>
              <c:symbol val="triangle"/>
              <c:size val="8"/>
              <c:spPr>
                <a:solidFill>
                  <a:srgbClr val="FF00FF">
                    <a:alpha val="100000"/>
                  </a:srgbClr>
                </a:solidFill>
                <a:ln w="6350" cap="flat" cmpd="sng" algn="ctr">
                  <a:solidFill>
                    <a:srgbClr val="FF00FF">
                      <a:alpha val="100000"/>
                    </a:srgbClr>
                  </a:solidFill>
                  <a:prstDash val="solid"/>
                  <a:round/>
                </a:ln>
              </c:spPr>
            </c:marker>
            <c:bubble3D val="0"/>
            <c:explosion val="0"/>
            <c:spPr>
              <a:ln w="38100" cap="rnd" cmpd="sng" algn="ctr">
                <a:solidFill>
                  <a:srgbClr val="800000">
                    <a:alpha val="100000"/>
                  </a:srgbClr>
                </a:solidFill>
                <a:prstDash val="solid"/>
                <a:round/>
              </a:ln>
            </c:spPr>
          </c:dPt>
          <c:dLbls>
            <c:dLbl>
              <c:idx val="0"/>
              <c:delete val="1"/>
            </c:dLbl>
            <c:dLbl>
              <c:idx val="1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100" b="1" i="0" u="none" strike="noStrike" kern="1200" baseline="0">
                        <a:solidFill>
                          <a:srgbClr val="000000"/>
                        </a:solidFill>
                        <a:latin typeface="Arial" panose="020B0604020202090204" pitchFamily="7" charset="0"/>
                        <a:ea typeface="Arial" panose="020B0604020202090204" pitchFamily="7" charset="0"/>
                        <a:cs typeface="Arial" panose="020B0604020202090204" pitchFamily="7" charset="0"/>
                      </a:defRPr>
                    </a:pPr>
                    <a:r>
                      <a:t>- 3S</a:t>
                    </a:r>
                    <a:endParaRPr sz="1100" b="1" i="0" u="none" strike="noStrike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endParaRPr>
                  </a:p>
                </c:rich>
              </c:tx>
              <c:numFmt formatCode="0.00_);[Red]\(0.00\)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100" b="1" i="0" u="none" strike="noStrike" kern="1200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/>
              <c:numFmt formatCode="0.00_);[Red]\(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1" i="0" u="none" strike="noStrike" kern="1200" baseline="0">
                        <a:solidFill>
                          <a:srgbClr val="000000"/>
                        </a:solidFill>
                        <a:latin typeface="Arial" panose="020B0604020202090204" pitchFamily="7" charset="0"/>
                        <a:ea typeface="Arial" panose="020B0604020202090204" pitchFamily="7" charset="0"/>
                        <a:cs typeface="Arial" panose="020B0604020202090204" pitchFamily="7" charset="0"/>
                      </a:defRPr>
                    </a:pPr>
                    <a:r>
                      <a:t>+ 3S </a:t>
                    </a:r>
                    <a:endParaRPr sz="1000" b="1" i="0" u="none" strike="noStrike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endParaRPr>
                  </a:p>
                </c:rich>
              </c:tx>
              <c:numFmt formatCode="0.00_);[Red]\(0.00\)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layout/>
              <c:numFmt formatCode="0.00_);[Red]\(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layout/>
              <c:numFmt formatCode="0.00_);[Red]\(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rgbClr val="000000"/>
                      </a:solidFill>
                      <a:latin typeface="Arial" panose="020B0604020202090204" pitchFamily="7" charset="0"/>
                      <a:ea typeface="Arial" panose="020B0604020202090204" pitchFamily="7" charset="0"/>
                      <a:cs typeface="Arial" panose="020B0604020202090204" pitchFamily="7" charset="0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</c:dLbl>
            <c:numFmt formatCode="0.00_);[Red]\(0.00\)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/>
                    </a:solidFill>
                    <a:latin typeface="Arial" panose="020B0604020202090204" pitchFamily="7" charset="0"/>
                    <a:ea typeface="Arial" panose="020B0604020202090204" pitchFamily="7" charset="0"/>
                    <a:cs typeface="Arial" panose="020B0604020202090204" pitchFamily="7" charset="0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xVal>
            <c:numRef>
              <c:f>CPK!$AN$5:$AN$31</c:f>
              <c:numCache>
                <c:formatCode>0.0000_ </c:formatCode>
                <c:ptCount val="27"/>
                <c:pt idx="0">
                  <c:v>0.124885264663805</c:v>
                </c:pt>
                <c:pt idx="1" c:formatCode="0.000_);[Red]\(0.000\)">
                  <c:v>0.124885264663805</c:v>
                </c:pt>
                <c:pt idx="2" c:formatCode="0.000_);[Red]\(0.000\)">
                  <c:v>0.124885264663805</c:v>
                </c:pt>
                <c:pt idx="3" c:formatCode="0.000_);[Red]\(0.000\)">
                  <c:v>0.149434620886981</c:v>
                </c:pt>
                <c:pt idx="4" c:formatCode="0.000_);[Red]\(0.000\)">
                  <c:v>0.149434620886981</c:v>
                </c:pt>
                <c:pt idx="5" c:formatCode="0.000_);[Red]\(0.000\)">
                  <c:v>0.149434620886981</c:v>
                </c:pt>
                <c:pt idx="6" c:formatCode="0.000_);[Red]\(0.000\)">
                  <c:v>0.173983977110157</c:v>
                </c:pt>
                <c:pt idx="7" c:formatCode="0.000_);[Red]\(0.000\)">
                  <c:v>0.173983977110157</c:v>
                </c:pt>
                <c:pt idx="8" c:formatCode="0.000_);[Red]\(0.000\)">
                  <c:v>0.173983977110157</c:v>
                </c:pt>
                <c:pt idx="9" c:formatCode="0.000_);[Red]\(0.000\)">
                  <c:v>0.198533333333333</c:v>
                </c:pt>
                <c:pt idx="10" c:formatCode="0.000_);[Red]\(0.000\)">
                  <c:v>0.198533333333333</c:v>
                </c:pt>
                <c:pt idx="11" c:formatCode="0.000_);[Red]\(0.000\)">
                  <c:v>0.198533333333333</c:v>
                </c:pt>
                <c:pt idx="12" c:formatCode="0.000_);[Red]\(0.000\)">
                  <c:v>0.223082689556509</c:v>
                </c:pt>
                <c:pt idx="13" c:formatCode="0.000_);[Red]\(0.000\)">
                  <c:v>0.223082689556509</c:v>
                </c:pt>
                <c:pt idx="14" c:formatCode="0.000_);[Red]\(0.000\)">
                  <c:v>0.223082689556509</c:v>
                </c:pt>
                <c:pt idx="15" c:formatCode="0.000_);[Red]\(0.000\)">
                  <c:v>0.247632045779685</c:v>
                </c:pt>
                <c:pt idx="16" c:formatCode="0.000_);[Red]\(0.000\)">
                  <c:v>0.247632045779685</c:v>
                </c:pt>
                <c:pt idx="17" c:formatCode="0.000_);[Red]\(0.000\)">
                  <c:v>0.247632045779685</c:v>
                </c:pt>
                <c:pt idx="18" c:formatCode="0.000_);[Red]\(0.000\)">
                  <c:v>0.272181402002861</c:v>
                </c:pt>
                <c:pt idx="19" c:formatCode="0.000_);[Red]\(0.000\)">
                  <c:v>0.272181402002861</c:v>
                </c:pt>
                <c:pt idx="20" c:formatCode="0.000_);[Red]\(0.000\)">
                  <c:v>0.272181402002861</c:v>
                </c:pt>
                <c:pt idx="21" c:formatCode="0.000_);[Red]\(0.000\)">
                  <c:v>0.3</c:v>
                </c:pt>
                <c:pt idx="22" c:formatCode="0.000_);[Red]\(0.000\)">
                  <c:v>0.3</c:v>
                </c:pt>
                <c:pt idx="23" c:formatCode="0.000_);[Red]\(0.000\)">
                  <c:v>0.3</c:v>
                </c:pt>
                <c:pt idx="24" c:formatCode="0.000_);[Red]\(0.000\)">
                  <c:v>0</c:v>
                </c:pt>
                <c:pt idx="25" c:formatCode="0.000_);[Red]\(0.000\)">
                  <c:v>0</c:v>
                </c:pt>
                <c:pt idx="26" c:formatCode="0.000_);[Red]\(0.000\)">
                  <c:v>0</c:v>
                </c:pt>
              </c:numCache>
            </c:numRef>
          </c:xVal>
          <c:yVal>
            <c:numRef>
              <c:f>CPK!$AO$5:$AO$31</c:f>
              <c:numCache>
                <c:formatCode>General</c:formatCode>
                <c:ptCount val="27"/>
                <c:pt idx="0">
                  <c:v>0</c:v>
                </c:pt>
                <c:pt idx="1">
                  <c:v>46.1347800574086</c:v>
                </c:pt>
                <c:pt idx="2">
                  <c:v>0</c:v>
                </c:pt>
                <c:pt idx="3">
                  <c:v>0</c:v>
                </c:pt>
                <c:pt idx="4">
                  <c:v>32.9534143267204</c:v>
                </c:pt>
                <c:pt idx="5">
                  <c:v>0</c:v>
                </c:pt>
                <c:pt idx="6">
                  <c:v>0</c:v>
                </c:pt>
                <c:pt idx="7">
                  <c:v>32.9534143267204</c:v>
                </c:pt>
                <c:pt idx="8">
                  <c:v>0</c:v>
                </c:pt>
                <c:pt idx="9">
                  <c:v>0</c:v>
                </c:pt>
                <c:pt idx="10" c:formatCode="0.00_);[Red]\(0.00\)">
                  <c:v>65.9068286534409</c:v>
                </c:pt>
                <c:pt idx="11">
                  <c:v>0</c:v>
                </c:pt>
                <c:pt idx="12">
                  <c:v>0</c:v>
                </c:pt>
                <c:pt idx="13">
                  <c:v>32.9534143267204</c:v>
                </c:pt>
                <c:pt idx="14">
                  <c:v>0</c:v>
                </c:pt>
                <c:pt idx="15">
                  <c:v>0</c:v>
                </c:pt>
                <c:pt idx="16">
                  <c:v>32.9534143267204</c:v>
                </c:pt>
                <c:pt idx="17">
                  <c:v>0</c:v>
                </c:pt>
                <c:pt idx="18">
                  <c:v>0</c:v>
                </c:pt>
                <c:pt idx="19">
                  <c:v>46.1347800574086</c:v>
                </c:pt>
                <c:pt idx="20">
                  <c:v>0</c:v>
                </c:pt>
                <c:pt idx="21">
                  <c:v>0</c:v>
                </c:pt>
                <c:pt idx="22" c:formatCode="0.00_);[Red]\(0.00\)">
                  <c:v>65.9068286534409</c:v>
                </c:pt>
                <c:pt idx="23">
                  <c:v>0</c:v>
                </c:pt>
                <c:pt idx="24">
                  <c:v>0</c:v>
                </c:pt>
                <c:pt idx="25" c:formatCode="0.00_);[Red]\(0.00\)">
                  <c:v>65.9068286534409</c:v>
                </c:pt>
                <c:pt idx="2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5833"/>
        <c:axId val="674259106"/>
      </c:scatterChart>
      <c:valAx>
        <c:axId val="19405833"/>
        <c:scaling>
          <c:orientation val="minMax"/>
        </c:scaling>
        <c:delete val="0"/>
        <c:axPos val="b"/>
        <c:numFmt formatCode="0.000_);[Red]\(0.000\)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674259106"/>
        <c:crosses val="autoZero"/>
        <c:crossBetween val="midCat"/>
      </c:valAx>
      <c:valAx>
        <c:axId val="674259106"/>
        <c:scaling>
          <c:orientation val="minMax"/>
        </c:scaling>
        <c:delete val="0"/>
        <c:axPos val="l"/>
        <c:majorGridlines>
          <c:spPr>
            <a:ln w="3175" cap="flat" cmpd="sng" algn="ctr">
              <a:pattFill prst="pct25">
                <a:fgClr>
                  <a:srgbClr val="000000">
                    <a:alpha val="100000"/>
                  </a:srgbClr>
                </a:fgClr>
                <a:bgClr>
                  <a:srgbClr val="FFFFFF"/>
                </a:bgClr>
              </a:pattFill>
              <a:prstDash val="solid"/>
              <a:round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19405833"/>
        <c:crosses val="autoZero"/>
        <c:crossBetween val="midCat"/>
      </c:valAx>
      <c:catAx>
        <c:axId val="305066320"/>
        <c:scaling>
          <c:orientation val="minMax"/>
        </c:scaling>
        <c:delete val="0"/>
        <c:axPos val="t"/>
        <c:numFmt formatCode="General" sourceLinked="0"/>
        <c:majorTickMark val="cross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FFFFFF">
                    <a:alpha val="100000"/>
                  </a:srgb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618241392"/>
        <c:crosses val="max"/>
        <c:auto val="1"/>
        <c:lblAlgn val="ctr"/>
        <c:lblOffset val="100"/>
        <c:noMultiLvlLbl val="0"/>
      </c:catAx>
      <c:valAx>
        <c:axId val="618241392"/>
        <c:scaling>
          <c:orientation val="minMax"/>
        </c:scaling>
        <c:delete val="1"/>
        <c:axPos val="l"/>
        <c:numFmt formatCode="0_);[Red]\(0\)" sourceLinked="1"/>
        <c:majorTickMark val="in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550" b="0" i="0" u="none" strike="noStrike" kern="1200" baseline="0">
                <a:solidFill>
                  <a:srgbClr val="000000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</a:defRPr>
            </a:pPr>
          </a:p>
        </c:txPr>
        <c:crossAx val="305066320"/>
        <c:crosses val="autoZero"/>
        <c:crossBetween val="between"/>
      </c:valAx>
      <c:spPr>
        <a:noFill/>
        <a:ln w="12700">
          <a:solidFill>
            <a:srgbClr val="808080">
              <a:alpha val="100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550" b="0" i="0" u="none" strike="noStrike" baseline="0">
          <a:solidFill>
            <a:srgbClr val="000000"/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"/>
          <c:y val="0.1265"/>
          <c:w val="0.892"/>
          <c:h val="0.6442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25">
              <a:fgClr>
                <a:srgbClr val="FF8080">
                  <a:alpha val="100000"/>
                </a:srgbClr>
              </a:fgClr>
              <a:bgClr>
                <a:srgbClr val="FF0000">
                  <a:alpha val="100000"/>
                </a:srgbClr>
              </a:bgClr>
            </a:pattFill>
            <a:ln w="3175">
              <a:solidFill>
                <a:srgbClr val="000000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GASKET!$S$69:$S$117</c:f>
              <c:numCache>
                <c:formatCode>0.00000000</c:formatCode>
                <c:ptCount val="49"/>
                <c:pt idx="0" c:formatCode="0.00000000">
                  <c:v>0</c:v>
                </c:pt>
                <c:pt idx="1" c:formatCode="0.00000000">
                  <c:v>0</c:v>
                </c:pt>
                <c:pt idx="2" c:formatCode="0.00000000">
                  <c:v>0</c:v>
                </c:pt>
                <c:pt idx="3" c:formatCode="0.00000000">
                  <c:v>0</c:v>
                </c:pt>
                <c:pt idx="4" c:formatCode="0.00000000">
                  <c:v>0</c:v>
                </c:pt>
                <c:pt idx="5" c:formatCode="0.00000000">
                  <c:v>0</c:v>
                </c:pt>
                <c:pt idx="6" c:formatCode="0.00000000">
                  <c:v>0</c:v>
                </c:pt>
                <c:pt idx="7" c:formatCode="0.00000000">
                  <c:v>0</c:v>
                </c:pt>
                <c:pt idx="8" c:formatCode="0.00000000">
                  <c:v>0</c:v>
                </c:pt>
                <c:pt idx="9" c:formatCode="0.00000000">
                  <c:v>0</c:v>
                </c:pt>
                <c:pt idx="10" c:formatCode="0.00000000">
                  <c:v>0</c:v>
                </c:pt>
                <c:pt idx="11" c:formatCode="0.00000000">
                  <c:v>0</c:v>
                </c:pt>
                <c:pt idx="12" c:formatCode="0.00000000">
                  <c:v>0</c:v>
                </c:pt>
                <c:pt idx="13" c:formatCode="0.00000000">
                  <c:v>0</c:v>
                </c:pt>
                <c:pt idx="14" c:formatCode="0.00000000">
                  <c:v>0</c:v>
                </c:pt>
                <c:pt idx="15" c:formatCode="0.00000000">
                  <c:v>0</c:v>
                </c:pt>
                <c:pt idx="16" c:formatCode="0.00000000">
                  <c:v>0</c:v>
                </c:pt>
                <c:pt idx="17" c:formatCode="0.00000000">
                  <c:v>0</c:v>
                </c:pt>
                <c:pt idx="18" c:formatCode="0.00000000">
                  <c:v>0</c:v>
                </c:pt>
                <c:pt idx="19" c:formatCode="0.00000000">
                  <c:v>0</c:v>
                </c:pt>
                <c:pt idx="20" c:formatCode="0.00000000">
                  <c:v>0</c:v>
                </c:pt>
                <c:pt idx="21" c:formatCode="0.00000000">
                  <c:v>0</c:v>
                </c:pt>
                <c:pt idx="22" c:formatCode="0.00000000">
                  <c:v>0</c:v>
                </c:pt>
                <c:pt idx="23" c:formatCode="0.00000000">
                  <c:v>0</c:v>
                </c:pt>
                <c:pt idx="24" c:formatCode="0.00000000">
                  <c:v>0</c:v>
                </c:pt>
                <c:pt idx="25" c:formatCode="0.00000000">
                  <c:v>0</c:v>
                </c:pt>
                <c:pt idx="26" c:formatCode="0.00000000">
                  <c:v>0</c:v>
                </c:pt>
                <c:pt idx="27" c:formatCode="0.00000000">
                  <c:v>0</c:v>
                </c:pt>
                <c:pt idx="28" c:formatCode="0.00000000">
                  <c:v>0</c:v>
                </c:pt>
                <c:pt idx="29" c:formatCode="0.00000000">
                  <c:v>0</c:v>
                </c:pt>
                <c:pt idx="30" c:formatCode="0.00000000">
                  <c:v>0</c:v>
                </c:pt>
                <c:pt idx="31" c:formatCode="0.00000000">
                  <c:v>0</c:v>
                </c:pt>
                <c:pt idx="32" c:formatCode="0.00000000">
                  <c:v>0</c:v>
                </c:pt>
                <c:pt idx="33" c:formatCode="0.00000000">
                  <c:v>0</c:v>
                </c:pt>
                <c:pt idx="34" c:formatCode="0.00000000">
                  <c:v>0</c:v>
                </c:pt>
                <c:pt idx="35" c:formatCode="0.00000000">
                  <c:v>0</c:v>
                </c:pt>
                <c:pt idx="36" c:formatCode="0.00000000">
                  <c:v>0</c:v>
                </c:pt>
                <c:pt idx="37" c:formatCode="0.00000000">
                  <c:v>0</c:v>
                </c:pt>
                <c:pt idx="38" c:formatCode="0.00000000">
                  <c:v>0</c:v>
                </c:pt>
                <c:pt idx="39" c:formatCode="0.00000000">
                  <c:v>0</c:v>
                </c:pt>
                <c:pt idx="40" c:formatCode="0.00000000">
                  <c:v>0</c:v>
                </c:pt>
                <c:pt idx="41" c:formatCode="0.00000000">
                  <c:v>0</c:v>
                </c:pt>
                <c:pt idx="42" c:formatCode="0.00000000">
                  <c:v>0</c:v>
                </c:pt>
                <c:pt idx="43" c:formatCode="0.00000000">
                  <c:v>0</c:v>
                </c:pt>
                <c:pt idx="44" c:formatCode="0.00000000">
                  <c:v>0</c:v>
                </c:pt>
                <c:pt idx="45" c:formatCode="0.00000000">
                  <c:v>0</c:v>
                </c:pt>
                <c:pt idx="46" c:formatCode="0.00000000">
                  <c:v>0</c:v>
                </c:pt>
                <c:pt idx="47" c:formatCode="0.00000000">
                  <c:v>0</c:v>
                </c:pt>
                <c:pt idx="48" c:formatCode="0.00000000">
                  <c:v>0</c:v>
                </c:pt>
              </c:numCache>
            </c:numRef>
          </c:cat>
          <c:val>
            <c:numRef>
              <c:f>GASKET!$T$69:$T$117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930624671"/>
        <c:axId val="83262755"/>
      </c:barChart>
      <c:catAx>
        <c:axId val="930624671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바탕체" pitchFamily="3" charset="0"/>
                <a:ea typeface="바탕체" pitchFamily="3" charset="0"/>
                <a:cs typeface="바탕체" pitchFamily="3" charset="0"/>
              </a:defRPr>
            </a:pPr>
          </a:p>
        </c:txPr>
        <c:crossAx val="83262755"/>
        <c:crosses val="autoZero"/>
        <c:auto val="0"/>
        <c:lblAlgn val="ctr"/>
        <c:lblOffset val="100"/>
        <c:noMultiLvlLbl val="0"/>
      </c:catAx>
      <c:valAx>
        <c:axId val="83262755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바탕체" pitchFamily="3" charset="0"/>
                <a:ea typeface="바탕체" pitchFamily="3" charset="0"/>
                <a:cs typeface="바탕체" pitchFamily="3" charset="0"/>
              </a:defRPr>
            </a:pPr>
          </a:p>
        </c:txPr>
        <c:crossAx val="93062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200" b="0" i="0" u="none" strike="noStrike" baseline="0">
          <a:solidFill>
            <a:srgbClr val="000000"/>
          </a:solidFill>
          <a:latin typeface="바탕체" pitchFamily="3" charset="0"/>
          <a:ea typeface="바탕체" pitchFamily="3" charset="0"/>
          <a:cs typeface="바탕체" pitchFamily="3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475"/>
          <c:y val="0.09925"/>
          <c:w val="0.91325"/>
          <c:h val="0.70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80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GASKET!$V$69:$V$117</c:f>
              <c:numCache>
                <c:formatCode>0.0000</c:formatCode>
                <c:ptCount val="49"/>
                <c:pt idx="0" c:formatCode="0.0000">
                  <c:v>0</c:v>
                </c:pt>
                <c:pt idx="1" c:formatCode="0.0000">
                  <c:v>0</c:v>
                </c:pt>
                <c:pt idx="2" c:formatCode="0.0000">
                  <c:v>0</c:v>
                </c:pt>
                <c:pt idx="3" c:formatCode="0.0000">
                  <c:v>0</c:v>
                </c:pt>
                <c:pt idx="4" c:formatCode="0.0000">
                  <c:v>0</c:v>
                </c:pt>
                <c:pt idx="5" c:formatCode="0.0000">
                  <c:v>0</c:v>
                </c:pt>
                <c:pt idx="6" c:formatCode="0.0000">
                  <c:v>0</c:v>
                </c:pt>
                <c:pt idx="7" c:formatCode="0.0000">
                  <c:v>0</c:v>
                </c:pt>
                <c:pt idx="8" c:formatCode="0.0000">
                  <c:v>0</c:v>
                </c:pt>
                <c:pt idx="9" c:formatCode="0.0000">
                  <c:v>0</c:v>
                </c:pt>
                <c:pt idx="10" c:formatCode="0.0000">
                  <c:v>0</c:v>
                </c:pt>
                <c:pt idx="11" c:formatCode="0.0000">
                  <c:v>0</c:v>
                </c:pt>
                <c:pt idx="12" c:formatCode="0.0000">
                  <c:v>0</c:v>
                </c:pt>
                <c:pt idx="13" c:formatCode="0.0000">
                  <c:v>0</c:v>
                </c:pt>
                <c:pt idx="14" c:formatCode="0.0000">
                  <c:v>0</c:v>
                </c:pt>
                <c:pt idx="15" c:formatCode="0.0000">
                  <c:v>0</c:v>
                </c:pt>
                <c:pt idx="16" c:formatCode="0.0000">
                  <c:v>0</c:v>
                </c:pt>
                <c:pt idx="17" c:formatCode="0.0000">
                  <c:v>0</c:v>
                </c:pt>
                <c:pt idx="18" c:formatCode="0.0000">
                  <c:v>0</c:v>
                </c:pt>
                <c:pt idx="19" c:formatCode="0.0000">
                  <c:v>0</c:v>
                </c:pt>
                <c:pt idx="20" c:formatCode="0.0000">
                  <c:v>0</c:v>
                </c:pt>
                <c:pt idx="21" c:formatCode="0.0000">
                  <c:v>0</c:v>
                </c:pt>
                <c:pt idx="22" c:formatCode="0.0000">
                  <c:v>0</c:v>
                </c:pt>
                <c:pt idx="23" c:formatCode="0.0000">
                  <c:v>0</c:v>
                </c:pt>
                <c:pt idx="24" c:formatCode="0.0000">
                  <c:v>0</c:v>
                </c:pt>
                <c:pt idx="25" c:formatCode="0.0000">
                  <c:v>0</c:v>
                </c:pt>
                <c:pt idx="26" c:formatCode="0.0000">
                  <c:v>0</c:v>
                </c:pt>
                <c:pt idx="27" c:formatCode="0.0000">
                  <c:v>0</c:v>
                </c:pt>
                <c:pt idx="28" c:formatCode="0.0000">
                  <c:v>0</c:v>
                </c:pt>
                <c:pt idx="29" c:formatCode="0.0000">
                  <c:v>0</c:v>
                </c:pt>
                <c:pt idx="30" c:formatCode="0.0000">
                  <c:v>0</c:v>
                </c:pt>
                <c:pt idx="31" c:formatCode="0.0000">
                  <c:v>0</c:v>
                </c:pt>
                <c:pt idx="32" c:formatCode="0.0000">
                  <c:v>0</c:v>
                </c:pt>
                <c:pt idx="33" c:formatCode="0.0000">
                  <c:v>0</c:v>
                </c:pt>
                <c:pt idx="34" c:formatCode="0.0000">
                  <c:v>0</c:v>
                </c:pt>
                <c:pt idx="35" c:formatCode="0.0000">
                  <c:v>0</c:v>
                </c:pt>
                <c:pt idx="36" c:formatCode="0.0000">
                  <c:v>0</c:v>
                </c:pt>
                <c:pt idx="37" c:formatCode="0.0000">
                  <c:v>0</c:v>
                </c:pt>
                <c:pt idx="38" c:formatCode="0.0000">
                  <c:v>0</c:v>
                </c:pt>
                <c:pt idx="39" c:formatCode="0.0000">
                  <c:v>0</c:v>
                </c:pt>
                <c:pt idx="40" c:formatCode="0.0000">
                  <c:v>0</c:v>
                </c:pt>
                <c:pt idx="41" c:formatCode="0.0000">
                  <c:v>0</c:v>
                </c:pt>
                <c:pt idx="42" c:formatCode="0.0000">
                  <c:v>0</c:v>
                </c:pt>
                <c:pt idx="43" c:formatCode="0.0000">
                  <c:v>0</c:v>
                </c:pt>
                <c:pt idx="44" c:formatCode="0.0000">
                  <c:v>0</c:v>
                </c:pt>
                <c:pt idx="45" c:formatCode="0.0000">
                  <c:v>0</c:v>
                </c:pt>
                <c:pt idx="46" c:formatCode="0.0000">
                  <c:v>0</c:v>
                </c:pt>
                <c:pt idx="47" c:formatCode="0.0000">
                  <c:v>0</c:v>
                </c:pt>
                <c:pt idx="48" c:formatCode="0.0000">
                  <c:v>0</c:v>
                </c:pt>
              </c:numCache>
            </c:numRef>
          </c:cat>
          <c:val>
            <c:numRef>
              <c:f>GASKET!$AB$69:$AB$117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0"/>
        <c:axId val="917880049"/>
        <c:axId val="152697771"/>
      </c:barChart>
      <c:catAx>
        <c:axId val="917880049"/>
        <c:scaling>
          <c:orientation val="minMax"/>
        </c:scaling>
        <c:delete val="1"/>
        <c:axPos val="b"/>
        <c:majorTickMark val="in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바탕체" pitchFamily="3" charset="0"/>
                <a:ea typeface="바탕체" pitchFamily="3" charset="0"/>
                <a:cs typeface="바탕체" pitchFamily="3" charset="0"/>
              </a:defRPr>
            </a:pPr>
          </a:p>
        </c:txPr>
        <c:crossAx val="152697771"/>
        <c:crosses val="autoZero"/>
        <c:auto val="0"/>
        <c:lblAlgn val="ctr"/>
        <c:lblOffset val="100"/>
        <c:noMultiLvlLbl val="0"/>
      </c:catAx>
      <c:valAx>
        <c:axId val="152697771"/>
        <c:scaling>
          <c:orientation val="minMax"/>
        </c:scaling>
        <c:delete val="1"/>
        <c:axPos val="l"/>
        <c:numFmt formatCode="General" sourceLinked="1"/>
        <c:majorTickMark val="in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바탕체" pitchFamily="3" charset="0"/>
                <a:ea typeface="바탕체" pitchFamily="3" charset="0"/>
                <a:cs typeface="바탕체" pitchFamily="3" charset="0"/>
              </a:defRPr>
            </a:pPr>
          </a:p>
        </c:txPr>
        <c:crossAx val="91788004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200" b="0" i="0" u="none" strike="noStrike" baseline="0">
          <a:solidFill>
            <a:srgbClr val="000000"/>
          </a:solidFill>
          <a:latin typeface="바탕체" pitchFamily="3" charset="0"/>
          <a:ea typeface="바탕체" pitchFamily="3" charset="0"/>
          <a:cs typeface="바탕체" pitchFamily="3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"/>
          <c:y val="0.079"/>
          <c:w val="0.91325"/>
          <c:h val="0.7075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00008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GASKET!$L$69:$L$261</c:f>
              <c:numCache>
                <c:formatCode>0.0000</c:formatCode>
                <c:ptCount val="193"/>
                <c:pt idx="0" c:formatCode="0.0000">
                  <c:v>0</c:v>
                </c:pt>
                <c:pt idx="1" c:formatCode="0.0000">
                  <c:v>0</c:v>
                </c:pt>
                <c:pt idx="2" c:formatCode="0.0000">
                  <c:v>0</c:v>
                </c:pt>
                <c:pt idx="3" c:formatCode="0.0000">
                  <c:v>0</c:v>
                </c:pt>
                <c:pt idx="4" c:formatCode="0.0000">
                  <c:v>0</c:v>
                </c:pt>
                <c:pt idx="5" c:formatCode="0.0000">
                  <c:v>0</c:v>
                </c:pt>
                <c:pt idx="6" c:formatCode="0.0000">
                  <c:v>0</c:v>
                </c:pt>
                <c:pt idx="7" c:formatCode="0.0000">
                  <c:v>0</c:v>
                </c:pt>
                <c:pt idx="8" c:formatCode="0.0000">
                  <c:v>0</c:v>
                </c:pt>
                <c:pt idx="9" c:formatCode="0.0000">
                  <c:v>0</c:v>
                </c:pt>
                <c:pt idx="10" c:formatCode="0.0000">
                  <c:v>0</c:v>
                </c:pt>
                <c:pt idx="11" c:formatCode="0.0000">
                  <c:v>0</c:v>
                </c:pt>
                <c:pt idx="12" c:formatCode="0.0000">
                  <c:v>0</c:v>
                </c:pt>
                <c:pt idx="13" c:formatCode="0.0000">
                  <c:v>0</c:v>
                </c:pt>
                <c:pt idx="14" c:formatCode="0.0000">
                  <c:v>0</c:v>
                </c:pt>
                <c:pt idx="15" c:formatCode="0.0000">
                  <c:v>0</c:v>
                </c:pt>
                <c:pt idx="16" c:formatCode="0.0000">
                  <c:v>0</c:v>
                </c:pt>
                <c:pt idx="17" c:formatCode="0.0000">
                  <c:v>0</c:v>
                </c:pt>
                <c:pt idx="18" c:formatCode="0.0000">
                  <c:v>0</c:v>
                </c:pt>
                <c:pt idx="19" c:formatCode="0.0000">
                  <c:v>0</c:v>
                </c:pt>
                <c:pt idx="20" c:formatCode="0.0000">
                  <c:v>0</c:v>
                </c:pt>
                <c:pt idx="21" c:formatCode="0.0000">
                  <c:v>0</c:v>
                </c:pt>
                <c:pt idx="22" c:formatCode="0.0000">
                  <c:v>0</c:v>
                </c:pt>
                <c:pt idx="23" c:formatCode="0.0000">
                  <c:v>0</c:v>
                </c:pt>
                <c:pt idx="24" c:formatCode="0.0000">
                  <c:v>0</c:v>
                </c:pt>
                <c:pt idx="25" c:formatCode="0.0000">
                  <c:v>0</c:v>
                </c:pt>
                <c:pt idx="26" c:formatCode="0.0000">
                  <c:v>0</c:v>
                </c:pt>
                <c:pt idx="27" c:formatCode="0.0000">
                  <c:v>0</c:v>
                </c:pt>
                <c:pt idx="28" c:formatCode="0.0000">
                  <c:v>0</c:v>
                </c:pt>
                <c:pt idx="29" c:formatCode="0.0000">
                  <c:v>0</c:v>
                </c:pt>
                <c:pt idx="30" c:formatCode="0.0000">
                  <c:v>0</c:v>
                </c:pt>
                <c:pt idx="31" c:formatCode="0.0000">
                  <c:v>0</c:v>
                </c:pt>
                <c:pt idx="32" c:formatCode="0.0000">
                  <c:v>0</c:v>
                </c:pt>
                <c:pt idx="33" c:formatCode="0.0000">
                  <c:v>0</c:v>
                </c:pt>
                <c:pt idx="34" c:formatCode="0.0000">
                  <c:v>0</c:v>
                </c:pt>
                <c:pt idx="35" c:formatCode="0.0000">
                  <c:v>0</c:v>
                </c:pt>
                <c:pt idx="36" c:formatCode="0.0000">
                  <c:v>0</c:v>
                </c:pt>
                <c:pt idx="37" c:formatCode="0.0000">
                  <c:v>0</c:v>
                </c:pt>
                <c:pt idx="38" c:formatCode="0.0000">
                  <c:v>0</c:v>
                </c:pt>
                <c:pt idx="39" c:formatCode="0.0000">
                  <c:v>0</c:v>
                </c:pt>
                <c:pt idx="40" c:formatCode="0.0000">
                  <c:v>0</c:v>
                </c:pt>
                <c:pt idx="41" c:formatCode="0.0000">
                  <c:v>0</c:v>
                </c:pt>
                <c:pt idx="42" c:formatCode="0.0000">
                  <c:v>0</c:v>
                </c:pt>
                <c:pt idx="43" c:formatCode="0.0000">
                  <c:v>0</c:v>
                </c:pt>
                <c:pt idx="44" c:formatCode="0.0000">
                  <c:v>0</c:v>
                </c:pt>
                <c:pt idx="45" c:formatCode="0.0000">
                  <c:v>0</c:v>
                </c:pt>
                <c:pt idx="46" c:formatCode="0.0000">
                  <c:v>0</c:v>
                </c:pt>
                <c:pt idx="47" c:formatCode="0.0000">
                  <c:v>0</c:v>
                </c:pt>
                <c:pt idx="48" c:formatCode="0.0000">
                  <c:v>0</c:v>
                </c:pt>
                <c:pt idx="49" c:formatCode="0.0000">
                  <c:v>0</c:v>
                </c:pt>
                <c:pt idx="50" c:formatCode="0.0000">
                  <c:v>0</c:v>
                </c:pt>
                <c:pt idx="51" c:formatCode="0.0000">
                  <c:v>0</c:v>
                </c:pt>
                <c:pt idx="52" c:formatCode="0.0000">
                  <c:v>0</c:v>
                </c:pt>
                <c:pt idx="53" c:formatCode="0.0000">
                  <c:v>0</c:v>
                </c:pt>
                <c:pt idx="54" c:formatCode="0.0000">
                  <c:v>0</c:v>
                </c:pt>
                <c:pt idx="55" c:formatCode="0.0000">
                  <c:v>0</c:v>
                </c:pt>
                <c:pt idx="56" c:formatCode="0.0000">
                  <c:v>0</c:v>
                </c:pt>
                <c:pt idx="57" c:formatCode="0.0000">
                  <c:v>0</c:v>
                </c:pt>
                <c:pt idx="58" c:formatCode="0.0000">
                  <c:v>0</c:v>
                </c:pt>
                <c:pt idx="59" c:formatCode="0.0000">
                  <c:v>0</c:v>
                </c:pt>
                <c:pt idx="60" c:formatCode="0.0000">
                  <c:v>0</c:v>
                </c:pt>
                <c:pt idx="61" c:formatCode="0.0000">
                  <c:v>0</c:v>
                </c:pt>
                <c:pt idx="62" c:formatCode="0.0000">
                  <c:v>0</c:v>
                </c:pt>
                <c:pt idx="63" c:formatCode="0.0000">
                  <c:v>0</c:v>
                </c:pt>
                <c:pt idx="64" c:formatCode="0.0000">
                  <c:v>0</c:v>
                </c:pt>
                <c:pt idx="65" c:formatCode="0.0000">
                  <c:v>0</c:v>
                </c:pt>
                <c:pt idx="66" c:formatCode="0.0000">
                  <c:v>0</c:v>
                </c:pt>
                <c:pt idx="67" c:formatCode="0.0000">
                  <c:v>0</c:v>
                </c:pt>
                <c:pt idx="68" c:formatCode="0.0000">
                  <c:v>0</c:v>
                </c:pt>
                <c:pt idx="69" c:formatCode="0.0000">
                  <c:v>0</c:v>
                </c:pt>
                <c:pt idx="70" c:formatCode="0.0000">
                  <c:v>0</c:v>
                </c:pt>
                <c:pt idx="71" c:formatCode="0.0000">
                  <c:v>0</c:v>
                </c:pt>
                <c:pt idx="72" c:formatCode="0.0000">
                  <c:v>0</c:v>
                </c:pt>
                <c:pt idx="73" c:formatCode="0.0000">
                  <c:v>0</c:v>
                </c:pt>
                <c:pt idx="74" c:formatCode="0.0000">
                  <c:v>0</c:v>
                </c:pt>
                <c:pt idx="75" c:formatCode="0.0000">
                  <c:v>0</c:v>
                </c:pt>
                <c:pt idx="76" c:formatCode="0.0000">
                  <c:v>0</c:v>
                </c:pt>
                <c:pt idx="77" c:formatCode="0.0000">
                  <c:v>0</c:v>
                </c:pt>
                <c:pt idx="78" c:formatCode="0.0000">
                  <c:v>0</c:v>
                </c:pt>
                <c:pt idx="79" c:formatCode="0.0000">
                  <c:v>0</c:v>
                </c:pt>
                <c:pt idx="80" c:formatCode="0.0000">
                  <c:v>0</c:v>
                </c:pt>
                <c:pt idx="81" c:formatCode="0.0000">
                  <c:v>0</c:v>
                </c:pt>
                <c:pt idx="82" c:formatCode="0.0000">
                  <c:v>0</c:v>
                </c:pt>
                <c:pt idx="83" c:formatCode="0.0000">
                  <c:v>0</c:v>
                </c:pt>
                <c:pt idx="84" c:formatCode="0.0000">
                  <c:v>0</c:v>
                </c:pt>
                <c:pt idx="85" c:formatCode="0.0000">
                  <c:v>0</c:v>
                </c:pt>
                <c:pt idx="86" c:formatCode="0.0000">
                  <c:v>0</c:v>
                </c:pt>
                <c:pt idx="87" c:formatCode="0.0000">
                  <c:v>0</c:v>
                </c:pt>
                <c:pt idx="88" c:formatCode="0.0000">
                  <c:v>0</c:v>
                </c:pt>
                <c:pt idx="89" c:formatCode="0.0000">
                  <c:v>0</c:v>
                </c:pt>
                <c:pt idx="90" c:formatCode="0.0000">
                  <c:v>0</c:v>
                </c:pt>
                <c:pt idx="91" c:formatCode="0.0000">
                  <c:v>0</c:v>
                </c:pt>
                <c:pt idx="92" c:formatCode="0.0000">
                  <c:v>0</c:v>
                </c:pt>
                <c:pt idx="93" c:formatCode="0.0000">
                  <c:v>0</c:v>
                </c:pt>
                <c:pt idx="94" c:formatCode="0.0000">
                  <c:v>0</c:v>
                </c:pt>
                <c:pt idx="95" c:formatCode="0.0000">
                  <c:v>0</c:v>
                </c:pt>
                <c:pt idx="96" c:formatCode="0.0000">
                  <c:v>0</c:v>
                </c:pt>
                <c:pt idx="97" c:formatCode="0.0000">
                  <c:v>0</c:v>
                </c:pt>
                <c:pt idx="98" c:formatCode="0.0000">
                  <c:v>0</c:v>
                </c:pt>
                <c:pt idx="99" c:formatCode="0.0000">
                  <c:v>0</c:v>
                </c:pt>
                <c:pt idx="100" c:formatCode="0.0000">
                  <c:v>0</c:v>
                </c:pt>
                <c:pt idx="101" c:formatCode="0.0000">
                  <c:v>0</c:v>
                </c:pt>
                <c:pt idx="102" c:formatCode="0.0000">
                  <c:v>0</c:v>
                </c:pt>
                <c:pt idx="103" c:formatCode="0.0000">
                  <c:v>0</c:v>
                </c:pt>
                <c:pt idx="104" c:formatCode="0.0000">
                  <c:v>0</c:v>
                </c:pt>
                <c:pt idx="105" c:formatCode="0.0000">
                  <c:v>0</c:v>
                </c:pt>
                <c:pt idx="106" c:formatCode="0.0000">
                  <c:v>0</c:v>
                </c:pt>
                <c:pt idx="107" c:formatCode="0.0000">
                  <c:v>0</c:v>
                </c:pt>
                <c:pt idx="108" c:formatCode="0.0000">
                  <c:v>0</c:v>
                </c:pt>
                <c:pt idx="109" c:formatCode="0.0000">
                  <c:v>0</c:v>
                </c:pt>
                <c:pt idx="110" c:formatCode="0.0000">
                  <c:v>0</c:v>
                </c:pt>
                <c:pt idx="111" c:formatCode="0.0000">
                  <c:v>0</c:v>
                </c:pt>
                <c:pt idx="112" c:formatCode="0.0000">
                  <c:v>0</c:v>
                </c:pt>
                <c:pt idx="113" c:formatCode="0.0000">
                  <c:v>0</c:v>
                </c:pt>
                <c:pt idx="114" c:formatCode="0.0000">
                  <c:v>0</c:v>
                </c:pt>
                <c:pt idx="115" c:formatCode="0.0000">
                  <c:v>0</c:v>
                </c:pt>
                <c:pt idx="116" c:formatCode="0.0000">
                  <c:v>0</c:v>
                </c:pt>
                <c:pt idx="117" c:formatCode="0.0000">
                  <c:v>0</c:v>
                </c:pt>
                <c:pt idx="118" c:formatCode="0.0000">
                  <c:v>0</c:v>
                </c:pt>
                <c:pt idx="119" c:formatCode="0.0000">
                  <c:v>0</c:v>
                </c:pt>
                <c:pt idx="120" c:formatCode="0.0000">
                  <c:v>0</c:v>
                </c:pt>
                <c:pt idx="121" c:formatCode="0.0000">
                  <c:v>0</c:v>
                </c:pt>
                <c:pt idx="122" c:formatCode="0.0000">
                  <c:v>0</c:v>
                </c:pt>
                <c:pt idx="123" c:formatCode="0.0000">
                  <c:v>0</c:v>
                </c:pt>
                <c:pt idx="124" c:formatCode="0.0000">
                  <c:v>0</c:v>
                </c:pt>
                <c:pt idx="125" c:formatCode="0.0000">
                  <c:v>0</c:v>
                </c:pt>
                <c:pt idx="126" c:formatCode="0.0000">
                  <c:v>0</c:v>
                </c:pt>
                <c:pt idx="127" c:formatCode="0.0000">
                  <c:v>0</c:v>
                </c:pt>
                <c:pt idx="128" c:formatCode="0.0000">
                  <c:v>0</c:v>
                </c:pt>
                <c:pt idx="129" c:formatCode="0.0000">
                  <c:v>0</c:v>
                </c:pt>
                <c:pt idx="130" c:formatCode="0.0000">
                  <c:v>0</c:v>
                </c:pt>
                <c:pt idx="131" c:formatCode="0.0000">
                  <c:v>0</c:v>
                </c:pt>
                <c:pt idx="132" c:formatCode="0.0000">
                  <c:v>0</c:v>
                </c:pt>
                <c:pt idx="133" c:formatCode="0.0000">
                  <c:v>0</c:v>
                </c:pt>
                <c:pt idx="134" c:formatCode="0.0000">
                  <c:v>0</c:v>
                </c:pt>
                <c:pt idx="135" c:formatCode="0.0000">
                  <c:v>0</c:v>
                </c:pt>
                <c:pt idx="136" c:formatCode="0.0000">
                  <c:v>0</c:v>
                </c:pt>
                <c:pt idx="137" c:formatCode="0.0000">
                  <c:v>0</c:v>
                </c:pt>
                <c:pt idx="138" c:formatCode="0.0000">
                  <c:v>0</c:v>
                </c:pt>
                <c:pt idx="139" c:formatCode="0.0000">
                  <c:v>0</c:v>
                </c:pt>
                <c:pt idx="140" c:formatCode="0.0000">
                  <c:v>0</c:v>
                </c:pt>
                <c:pt idx="141" c:formatCode="0.0000">
                  <c:v>0</c:v>
                </c:pt>
                <c:pt idx="142" c:formatCode="0.0000">
                  <c:v>0</c:v>
                </c:pt>
                <c:pt idx="143" c:formatCode="0.0000">
                  <c:v>0</c:v>
                </c:pt>
                <c:pt idx="144" c:formatCode="0.0000">
                  <c:v>0</c:v>
                </c:pt>
                <c:pt idx="145" c:formatCode="0.0000">
                  <c:v>0</c:v>
                </c:pt>
                <c:pt idx="146" c:formatCode="0.0000">
                  <c:v>0</c:v>
                </c:pt>
                <c:pt idx="147" c:formatCode="0.0000">
                  <c:v>0</c:v>
                </c:pt>
                <c:pt idx="148" c:formatCode="0.0000">
                  <c:v>0</c:v>
                </c:pt>
                <c:pt idx="149" c:formatCode="0.0000">
                  <c:v>0</c:v>
                </c:pt>
                <c:pt idx="150" c:formatCode="0.0000">
                  <c:v>0</c:v>
                </c:pt>
                <c:pt idx="151" c:formatCode="0.0000">
                  <c:v>0</c:v>
                </c:pt>
                <c:pt idx="152" c:formatCode="0.0000">
                  <c:v>0</c:v>
                </c:pt>
                <c:pt idx="153" c:formatCode="0.0000">
                  <c:v>0</c:v>
                </c:pt>
                <c:pt idx="154" c:formatCode="0.0000">
                  <c:v>0</c:v>
                </c:pt>
                <c:pt idx="155" c:formatCode="0.0000">
                  <c:v>0</c:v>
                </c:pt>
                <c:pt idx="156" c:formatCode="0.0000">
                  <c:v>0</c:v>
                </c:pt>
                <c:pt idx="157" c:formatCode="0.0000">
                  <c:v>0</c:v>
                </c:pt>
                <c:pt idx="158" c:formatCode="0.0000">
                  <c:v>0</c:v>
                </c:pt>
                <c:pt idx="159" c:formatCode="0.0000">
                  <c:v>0</c:v>
                </c:pt>
                <c:pt idx="160" c:formatCode="0.0000">
                  <c:v>0</c:v>
                </c:pt>
                <c:pt idx="161" c:formatCode="0.0000">
                  <c:v>0</c:v>
                </c:pt>
                <c:pt idx="162" c:formatCode="0.0000">
                  <c:v>0</c:v>
                </c:pt>
                <c:pt idx="163" c:formatCode="0.0000">
                  <c:v>0</c:v>
                </c:pt>
                <c:pt idx="164" c:formatCode="0.0000">
                  <c:v>0</c:v>
                </c:pt>
                <c:pt idx="165" c:formatCode="0.0000">
                  <c:v>0</c:v>
                </c:pt>
                <c:pt idx="166" c:formatCode="0.0000">
                  <c:v>0</c:v>
                </c:pt>
                <c:pt idx="167" c:formatCode="0.0000">
                  <c:v>0</c:v>
                </c:pt>
                <c:pt idx="168" c:formatCode="0.0000">
                  <c:v>0</c:v>
                </c:pt>
                <c:pt idx="169" c:formatCode="0.0000">
                  <c:v>0</c:v>
                </c:pt>
                <c:pt idx="170" c:formatCode="0.0000">
                  <c:v>0</c:v>
                </c:pt>
                <c:pt idx="171" c:formatCode="0.0000">
                  <c:v>0</c:v>
                </c:pt>
                <c:pt idx="172" c:formatCode="0.0000">
                  <c:v>0</c:v>
                </c:pt>
                <c:pt idx="173" c:formatCode="0.0000">
                  <c:v>0</c:v>
                </c:pt>
                <c:pt idx="174" c:formatCode="0.0000">
                  <c:v>0</c:v>
                </c:pt>
                <c:pt idx="175" c:formatCode="0.0000">
                  <c:v>0</c:v>
                </c:pt>
                <c:pt idx="176" c:formatCode="0.0000">
                  <c:v>0</c:v>
                </c:pt>
                <c:pt idx="177" c:formatCode="0.0000">
                  <c:v>0</c:v>
                </c:pt>
                <c:pt idx="178" c:formatCode="0.0000">
                  <c:v>0</c:v>
                </c:pt>
                <c:pt idx="179" c:formatCode="0.0000">
                  <c:v>0</c:v>
                </c:pt>
                <c:pt idx="180" c:formatCode="0.0000">
                  <c:v>0</c:v>
                </c:pt>
                <c:pt idx="181" c:formatCode="0.0000">
                  <c:v>0</c:v>
                </c:pt>
                <c:pt idx="182" c:formatCode="0.0000">
                  <c:v>0</c:v>
                </c:pt>
                <c:pt idx="183" c:formatCode="0.0000">
                  <c:v>0</c:v>
                </c:pt>
                <c:pt idx="184" c:formatCode="0.0000">
                  <c:v>0</c:v>
                </c:pt>
                <c:pt idx="185" c:formatCode="0.0000">
                  <c:v>0</c:v>
                </c:pt>
                <c:pt idx="186" c:formatCode="0.0000">
                  <c:v>0</c:v>
                </c:pt>
                <c:pt idx="187" c:formatCode="0.0000">
                  <c:v>0</c:v>
                </c:pt>
                <c:pt idx="188" c:formatCode="0.0000">
                  <c:v>0</c:v>
                </c:pt>
                <c:pt idx="189" c:formatCode="0.0000">
                  <c:v>0</c:v>
                </c:pt>
                <c:pt idx="190" c:formatCode="0.0000">
                  <c:v>0</c:v>
                </c:pt>
                <c:pt idx="191" c:formatCode="0.0000">
                  <c:v>0</c:v>
                </c:pt>
                <c:pt idx="192" c:formatCode="0.0000">
                  <c:v>0</c:v>
                </c:pt>
              </c:numCache>
            </c:numRef>
          </c:cat>
          <c:val>
            <c:numRef>
              <c:f>GASKET!$M$69:$M$261</c:f>
              <c:numCache>
                <c:formatCode>General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12649570"/>
        <c:axId val="373449423"/>
      </c:lineChart>
      <c:catAx>
        <c:axId val="912649570"/>
        <c:scaling>
          <c:orientation val="minMax"/>
        </c:scaling>
        <c:delete val="1"/>
        <c:axPos val="b"/>
        <c:majorTickMark val="in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바탕체" pitchFamily="3" charset="0"/>
                <a:ea typeface="바탕체" pitchFamily="3" charset="0"/>
                <a:cs typeface="바탕체" pitchFamily="3" charset="0"/>
              </a:defRPr>
            </a:pPr>
          </a:p>
        </c:txPr>
        <c:crossAx val="373449423"/>
        <c:crosses val="autoZero"/>
        <c:auto val="0"/>
        <c:lblAlgn val="ctr"/>
        <c:lblOffset val="100"/>
        <c:noMultiLvlLbl val="0"/>
      </c:catAx>
      <c:valAx>
        <c:axId val="373449423"/>
        <c:scaling>
          <c:orientation val="minMax"/>
        </c:scaling>
        <c:delete val="1"/>
        <c:axPos val="l"/>
        <c:numFmt formatCode="General" sourceLinked="1"/>
        <c:majorTickMark val="in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바탕체" pitchFamily="3" charset="0"/>
                <a:ea typeface="바탕체" pitchFamily="3" charset="0"/>
                <a:cs typeface="바탕체" pitchFamily="3" charset="0"/>
              </a:defRPr>
            </a:pPr>
          </a:p>
        </c:txPr>
        <c:crossAx val="91264957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200" b="0" i="0" u="none" strike="noStrike" baseline="0">
          <a:solidFill>
            <a:srgbClr val="000000"/>
          </a:solidFill>
          <a:latin typeface="바탕체" pitchFamily="3" charset="0"/>
          <a:ea typeface="바탕체" pitchFamily="3" charset="0"/>
          <a:cs typeface="바탕체" pitchFamily="3" charset="0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24</xdr:row>
      <xdr:rowOff>66040</xdr:rowOff>
    </xdr:from>
    <xdr:to>
      <xdr:col>28</xdr:col>
      <xdr:colOff>0</xdr:colOff>
      <xdr:row>31</xdr:row>
      <xdr:rowOff>0</xdr:rowOff>
    </xdr:to>
    <xdr:graphicFrame>
      <xdr:nvGraphicFramePr>
        <xdr:cNvPr id="6145" name="Chart 1"/>
        <xdr:cNvGraphicFramePr/>
      </xdr:nvGraphicFramePr>
      <xdr:xfrm>
        <a:off x="337820" y="5276215"/>
        <a:ext cx="8712200" cy="1400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9525</xdr:rowOff>
    </xdr:from>
    <xdr:to>
      <xdr:col>28</xdr:col>
      <xdr:colOff>0</xdr:colOff>
      <xdr:row>24</xdr:row>
      <xdr:rowOff>66040</xdr:rowOff>
    </xdr:to>
    <xdr:graphicFrame>
      <xdr:nvGraphicFramePr>
        <xdr:cNvPr id="6146" name="Chart 2"/>
        <xdr:cNvGraphicFramePr/>
      </xdr:nvGraphicFramePr>
      <xdr:xfrm>
        <a:off x="337820" y="3819525"/>
        <a:ext cx="8712200" cy="14566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106680</xdr:colOff>
      <xdr:row>19</xdr:row>
      <xdr:rowOff>0</xdr:rowOff>
    </xdr:from>
    <xdr:to>
      <xdr:col>0</xdr:col>
      <xdr:colOff>302260</xdr:colOff>
      <xdr:row>19</xdr:row>
      <xdr:rowOff>0</xdr:rowOff>
    </xdr:to>
    <xdr:sp>
      <xdr:nvSpPr>
        <xdr:cNvPr id="6147" name="文字 5"/>
        <xdr:cNvSpPr txBox="1"/>
      </xdr:nvSpPr>
      <xdr:spPr>
        <a:xfrm>
          <a:off x="106680" y="4210050"/>
          <a:ext cx="1955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">
          <a:noFill/>
        </a:ln>
      </xdr:spPr>
      <xdr:txBody>
        <a:bodyPr vertOverflow="clip" vert="horz" wrap="square" lIns="27432" tIns="18288" rIns="0" bIns="0" anchor="t" anchorCtr="0" upright="1"/>
        <a:p>
          <a:pPr algn="l" rtl="0"/>
          <a:r>
            <a:rPr lang="zh-CN" altLang="en-US" sz="1000">
              <a:solidFill>
                <a:srgbClr val="000000"/>
              </a:solidFill>
              <a:latin typeface="細明體" charset="-120"/>
              <a:ea typeface="細明體" charset="-120"/>
              <a:cs typeface="細明體" charset="-120"/>
              <a:sym typeface="細明體" charset="-120"/>
            </a:rPr>
            <a:t>Ｘ</a:t>
          </a:r>
          <a:endParaRPr lang="zh-CN" altLang="en-US" sz="1000">
            <a:solidFill>
              <a:srgbClr val="000000"/>
            </a:solidFill>
            <a:latin typeface="細明體" charset="-120"/>
            <a:ea typeface="細明體" charset="-120"/>
            <a:cs typeface="細明體" charset="-120"/>
            <a:sym typeface="細明體" charset="-12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細明體" charset="-120"/>
              <a:ea typeface="細明體" charset="-120"/>
              <a:cs typeface="細明體" charset="-120"/>
              <a:sym typeface="細明體" charset="-120"/>
            </a:rPr>
            <a:t>管</a:t>
          </a:r>
          <a:endParaRPr lang="zh-CN" altLang="en-US" sz="1000">
            <a:solidFill>
              <a:srgbClr val="000000"/>
            </a:solidFill>
            <a:latin typeface="細明體" charset="-120"/>
            <a:ea typeface="細明體" charset="-120"/>
            <a:cs typeface="細明體" charset="-120"/>
            <a:sym typeface="細明體" charset="-12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細明體" charset="-120"/>
              <a:ea typeface="細明體" charset="-120"/>
              <a:cs typeface="細明體" charset="-120"/>
              <a:sym typeface="細明體" charset="-120"/>
            </a:rPr>
            <a:t>制</a:t>
          </a:r>
          <a:endParaRPr lang="zh-CN" altLang="en-US" sz="1000">
            <a:solidFill>
              <a:srgbClr val="000000"/>
            </a:solidFill>
            <a:latin typeface="細明體" charset="-120"/>
            <a:ea typeface="細明體" charset="-120"/>
            <a:cs typeface="細明體" charset="-120"/>
            <a:sym typeface="細明體" charset="-120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細明體" charset="-120"/>
              <a:ea typeface="細明體" charset="-120"/>
              <a:cs typeface="細明體" charset="-120"/>
              <a:sym typeface="細明體" charset="-120"/>
            </a:rPr>
            <a:t>圖</a:t>
          </a:r>
          <a:endParaRPr lang="zh-CN" altLang="en-US" sz="1000">
            <a:solidFill>
              <a:srgbClr val="000000"/>
            </a:solidFill>
            <a:latin typeface="細明體" charset="-120"/>
            <a:ea typeface="細明體" charset="-120"/>
            <a:cs typeface="細明體" charset="-120"/>
            <a:sym typeface="細明體" charset="-120"/>
          </a:endParaRPr>
        </a:p>
      </xdr:txBody>
    </xdr:sp>
    <xdr:clientData/>
  </xdr:twoCellAnchor>
  <xdr:twoCellAnchor>
    <xdr:from>
      <xdr:col>0</xdr:col>
      <xdr:colOff>302260</xdr:colOff>
      <xdr:row>15</xdr:row>
      <xdr:rowOff>38100</xdr:rowOff>
    </xdr:from>
    <xdr:to>
      <xdr:col>1</xdr:col>
      <xdr:colOff>62230</xdr:colOff>
      <xdr:row>15</xdr:row>
      <xdr:rowOff>38100</xdr:rowOff>
    </xdr:to>
    <xdr:sp>
      <xdr:nvSpPr>
        <xdr:cNvPr id="6148" name="Line 4"/>
        <xdr:cNvSpPr/>
      </xdr:nvSpPr>
      <xdr:spPr>
        <a:xfrm>
          <a:off x="302260" y="3448050"/>
          <a:ext cx="9779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106680</xdr:colOff>
      <xdr:row>18</xdr:row>
      <xdr:rowOff>38100</xdr:rowOff>
    </xdr:from>
    <xdr:to>
      <xdr:col>0</xdr:col>
      <xdr:colOff>222250</xdr:colOff>
      <xdr:row>18</xdr:row>
      <xdr:rowOff>38100</xdr:rowOff>
    </xdr:to>
    <xdr:sp>
      <xdr:nvSpPr>
        <xdr:cNvPr id="6149" name="Line 5"/>
        <xdr:cNvSpPr/>
      </xdr:nvSpPr>
      <xdr:spPr>
        <a:xfrm>
          <a:off x="106680" y="4048125"/>
          <a:ext cx="11557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headEnd type="none" w="med" len="med"/>
          <a:tailEnd type="none" w="med" len="med"/>
        </a:ln>
      </xdr:spPr>
    </xdr:sp>
    <xdr:clientData fLocksWithSheet="0"/>
  </xdr:twoCellAnchor>
  <xdr:twoCellAnchor>
    <xdr:from>
      <xdr:col>16</xdr:col>
      <xdr:colOff>106680</xdr:colOff>
      <xdr:row>2</xdr:row>
      <xdr:rowOff>37465</xdr:rowOff>
    </xdr:from>
    <xdr:to>
      <xdr:col>16</xdr:col>
      <xdr:colOff>240030</xdr:colOff>
      <xdr:row>2</xdr:row>
      <xdr:rowOff>37465</xdr:rowOff>
    </xdr:to>
    <xdr:sp>
      <xdr:nvSpPr>
        <xdr:cNvPr id="6151" name="Line 7"/>
        <xdr:cNvSpPr/>
      </xdr:nvSpPr>
      <xdr:spPr>
        <a:xfrm>
          <a:off x="5316220" y="628015"/>
          <a:ext cx="13335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headEnd type="none" w="med" len="med"/>
          <a:tailEnd type="none" w="med" len="med"/>
        </a:ln>
      </xdr:spPr>
    </xdr:sp>
    <xdr:clientData fLocksWithSheet="0"/>
  </xdr:twoCellAnchor>
  <xdr:twoCellAnchor>
    <xdr:from>
      <xdr:col>28</xdr:col>
      <xdr:colOff>53340</xdr:colOff>
      <xdr:row>15</xdr:row>
      <xdr:rowOff>38100</xdr:rowOff>
    </xdr:from>
    <xdr:to>
      <xdr:col>28</xdr:col>
      <xdr:colOff>160020</xdr:colOff>
      <xdr:row>15</xdr:row>
      <xdr:rowOff>38100</xdr:rowOff>
    </xdr:to>
    <xdr:sp>
      <xdr:nvSpPr>
        <xdr:cNvPr id="6153" name="Line 9"/>
        <xdr:cNvSpPr/>
      </xdr:nvSpPr>
      <xdr:spPr>
        <a:xfrm>
          <a:off x="9103360" y="3448050"/>
          <a:ext cx="106680" cy="0"/>
        </a:xfrm>
        <a:prstGeom prst="line">
          <a:avLst/>
        </a:prstGeom>
        <a:ln w="38100" cap="flat" cmpd="dbl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28</xdr:col>
      <xdr:colOff>71120</xdr:colOff>
      <xdr:row>16</xdr:row>
      <xdr:rowOff>29210</xdr:rowOff>
    </xdr:from>
    <xdr:to>
      <xdr:col>28</xdr:col>
      <xdr:colOff>177800</xdr:colOff>
      <xdr:row>16</xdr:row>
      <xdr:rowOff>29210</xdr:rowOff>
    </xdr:to>
    <xdr:sp>
      <xdr:nvSpPr>
        <xdr:cNvPr id="6154" name="Line 10"/>
        <xdr:cNvSpPr/>
      </xdr:nvSpPr>
      <xdr:spPr>
        <a:xfrm>
          <a:off x="9121140" y="3639185"/>
          <a:ext cx="10668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97790</xdr:colOff>
      <xdr:row>0</xdr:row>
      <xdr:rowOff>56515</xdr:rowOff>
    </xdr:from>
    <xdr:to>
      <xdr:col>12</xdr:col>
      <xdr:colOff>302260</xdr:colOff>
      <xdr:row>0</xdr:row>
      <xdr:rowOff>56515</xdr:rowOff>
    </xdr:to>
    <xdr:sp>
      <xdr:nvSpPr>
        <xdr:cNvPr id="6156" name="Line 12"/>
        <xdr:cNvSpPr/>
      </xdr:nvSpPr>
      <xdr:spPr>
        <a:xfrm>
          <a:off x="4027170" y="56515"/>
          <a:ext cx="20447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headEnd type="none" w="med" len="med"/>
          <a:tailEnd type="none" w="med" len="med"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38735</xdr:rowOff>
    </xdr:from>
    <xdr:to>
      <xdr:col>15</xdr:col>
      <xdr:colOff>0</xdr:colOff>
      <xdr:row>27</xdr:row>
      <xdr:rowOff>200025</xdr:rowOff>
    </xdr:to>
    <xdr:graphicFrame>
      <xdr:nvGraphicFramePr>
        <xdr:cNvPr id="9217" name="Chart 1"/>
        <xdr:cNvGraphicFramePr/>
      </xdr:nvGraphicFramePr>
      <xdr:xfrm>
        <a:off x="0" y="1096010"/>
        <a:ext cx="5013960" cy="5088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35560</xdr:colOff>
      <xdr:row>40</xdr:row>
      <xdr:rowOff>29210</xdr:rowOff>
    </xdr:from>
    <xdr:to>
      <xdr:col>12</xdr:col>
      <xdr:colOff>631190</xdr:colOff>
      <xdr:row>55</xdr:row>
      <xdr:rowOff>113665</xdr:rowOff>
    </xdr:to>
    <xdr:graphicFrame>
      <xdr:nvGraphicFramePr>
        <xdr:cNvPr id="11265" name="Chart 1"/>
        <xdr:cNvGraphicFramePr/>
      </xdr:nvGraphicFramePr>
      <xdr:xfrm>
        <a:off x="2258060" y="9503410"/>
        <a:ext cx="6756400" cy="3561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35560</xdr:colOff>
      <xdr:row>40</xdr:row>
      <xdr:rowOff>29210</xdr:rowOff>
    </xdr:from>
    <xdr:to>
      <xdr:col>12</xdr:col>
      <xdr:colOff>631190</xdr:colOff>
      <xdr:row>55</xdr:row>
      <xdr:rowOff>104775</xdr:rowOff>
    </xdr:to>
    <xdr:graphicFrame>
      <xdr:nvGraphicFramePr>
        <xdr:cNvPr id="11266" name="Chart 2"/>
        <xdr:cNvGraphicFramePr/>
      </xdr:nvGraphicFramePr>
      <xdr:xfrm>
        <a:off x="2258060" y="9503410"/>
        <a:ext cx="6756400" cy="3552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35560</xdr:colOff>
      <xdr:row>40</xdr:row>
      <xdr:rowOff>29210</xdr:rowOff>
    </xdr:from>
    <xdr:to>
      <xdr:col>12</xdr:col>
      <xdr:colOff>631190</xdr:colOff>
      <xdr:row>55</xdr:row>
      <xdr:rowOff>113665</xdr:rowOff>
    </xdr:to>
    <xdr:graphicFrame>
      <xdr:nvGraphicFramePr>
        <xdr:cNvPr id="11267" name="Chart 11"/>
        <xdr:cNvGraphicFramePr/>
      </xdr:nvGraphicFramePr>
      <xdr:xfrm>
        <a:off x="2258060" y="9503410"/>
        <a:ext cx="6756400" cy="3561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373380</xdr:colOff>
      <xdr:row>32</xdr:row>
      <xdr:rowOff>114300</xdr:rowOff>
    </xdr:from>
    <xdr:to>
      <xdr:col>1</xdr:col>
      <xdr:colOff>26670</xdr:colOff>
      <xdr:row>32</xdr:row>
      <xdr:rowOff>114300</xdr:rowOff>
    </xdr:to>
    <xdr:sp>
      <xdr:nvSpPr>
        <xdr:cNvPr id="18433" name="Line 1"/>
        <xdr:cNvSpPr/>
      </xdr:nvSpPr>
      <xdr:spPr>
        <a:xfrm>
          <a:off x="373380" y="767715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346710</xdr:colOff>
      <xdr:row>32</xdr:row>
      <xdr:rowOff>114300</xdr:rowOff>
    </xdr:from>
    <xdr:to>
      <xdr:col>1</xdr:col>
      <xdr:colOff>418465</xdr:colOff>
      <xdr:row>32</xdr:row>
      <xdr:rowOff>114300</xdr:rowOff>
    </xdr:to>
    <xdr:sp>
      <xdr:nvSpPr>
        <xdr:cNvPr id="18434" name="Line 2"/>
        <xdr:cNvSpPr/>
      </xdr:nvSpPr>
      <xdr:spPr>
        <a:xfrm>
          <a:off x="764540" y="7677150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106680</xdr:colOff>
      <xdr:row>32</xdr:row>
      <xdr:rowOff>66675</xdr:rowOff>
    </xdr:from>
    <xdr:to>
      <xdr:col>2</xdr:col>
      <xdr:colOff>204470</xdr:colOff>
      <xdr:row>32</xdr:row>
      <xdr:rowOff>66675</xdr:rowOff>
    </xdr:to>
    <xdr:sp>
      <xdr:nvSpPr>
        <xdr:cNvPr id="18435" name="Line 3"/>
        <xdr:cNvSpPr/>
      </xdr:nvSpPr>
      <xdr:spPr>
        <a:xfrm>
          <a:off x="1164590" y="7629525"/>
          <a:ext cx="97790" cy="0"/>
        </a:xfrm>
        <a:prstGeom prst="line">
          <a:avLst/>
        </a:prstGeom>
        <a:ln w="38100" cap="flat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453390</xdr:colOff>
      <xdr:row>32</xdr:row>
      <xdr:rowOff>76200</xdr:rowOff>
    </xdr:from>
    <xdr:to>
      <xdr:col>2</xdr:col>
      <xdr:colOff>524510</xdr:colOff>
      <xdr:row>32</xdr:row>
      <xdr:rowOff>76200</xdr:rowOff>
    </xdr:to>
    <xdr:sp>
      <xdr:nvSpPr>
        <xdr:cNvPr id="18436" name="Line 4"/>
        <xdr:cNvSpPr/>
      </xdr:nvSpPr>
      <xdr:spPr>
        <a:xfrm>
          <a:off x="1511300" y="763905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462280</xdr:colOff>
      <xdr:row>32</xdr:row>
      <xdr:rowOff>114300</xdr:rowOff>
    </xdr:from>
    <xdr:to>
      <xdr:col>4</xdr:col>
      <xdr:colOff>551180</xdr:colOff>
      <xdr:row>32</xdr:row>
      <xdr:rowOff>114300</xdr:rowOff>
    </xdr:to>
    <xdr:sp>
      <xdr:nvSpPr>
        <xdr:cNvPr id="18437" name="Line 5"/>
        <xdr:cNvSpPr/>
      </xdr:nvSpPr>
      <xdr:spPr>
        <a:xfrm>
          <a:off x="2800350" y="7677150"/>
          <a:ext cx="889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213360</xdr:colOff>
      <xdr:row>32</xdr:row>
      <xdr:rowOff>114300</xdr:rowOff>
    </xdr:from>
    <xdr:to>
      <xdr:col>5</xdr:col>
      <xdr:colOff>301625</xdr:colOff>
      <xdr:row>32</xdr:row>
      <xdr:rowOff>114300</xdr:rowOff>
    </xdr:to>
    <xdr:sp>
      <xdr:nvSpPr>
        <xdr:cNvPr id="18438" name="Line 6"/>
        <xdr:cNvSpPr/>
      </xdr:nvSpPr>
      <xdr:spPr>
        <a:xfrm>
          <a:off x="3191510" y="7677150"/>
          <a:ext cx="8826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142240</xdr:colOff>
      <xdr:row>32</xdr:row>
      <xdr:rowOff>66675</xdr:rowOff>
    </xdr:from>
    <xdr:to>
      <xdr:col>6</xdr:col>
      <xdr:colOff>240030</xdr:colOff>
      <xdr:row>32</xdr:row>
      <xdr:rowOff>66675</xdr:rowOff>
    </xdr:to>
    <xdr:sp>
      <xdr:nvSpPr>
        <xdr:cNvPr id="18439" name="Line 7"/>
        <xdr:cNvSpPr/>
      </xdr:nvSpPr>
      <xdr:spPr>
        <a:xfrm>
          <a:off x="3760470" y="7629525"/>
          <a:ext cx="97790" cy="0"/>
        </a:xfrm>
        <a:prstGeom prst="line">
          <a:avLst/>
        </a:prstGeom>
        <a:ln w="38100" cap="flat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488950</xdr:colOff>
      <xdr:row>32</xdr:row>
      <xdr:rowOff>76200</xdr:rowOff>
    </xdr:from>
    <xdr:to>
      <xdr:col>6</xdr:col>
      <xdr:colOff>560070</xdr:colOff>
      <xdr:row>32</xdr:row>
      <xdr:rowOff>76200</xdr:rowOff>
    </xdr:to>
    <xdr:sp>
      <xdr:nvSpPr>
        <xdr:cNvPr id="18440" name="Line 8"/>
        <xdr:cNvSpPr/>
      </xdr:nvSpPr>
      <xdr:spPr>
        <a:xfrm>
          <a:off x="4107180" y="763905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426720</xdr:colOff>
      <xdr:row>33</xdr:row>
      <xdr:rowOff>57150</xdr:rowOff>
    </xdr:from>
    <xdr:to>
      <xdr:col>1</xdr:col>
      <xdr:colOff>498475</xdr:colOff>
      <xdr:row>33</xdr:row>
      <xdr:rowOff>57150</xdr:rowOff>
    </xdr:to>
    <xdr:sp>
      <xdr:nvSpPr>
        <xdr:cNvPr id="18441" name="Line 9"/>
        <xdr:cNvSpPr/>
      </xdr:nvSpPr>
      <xdr:spPr>
        <a:xfrm>
          <a:off x="844550" y="7899400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426720</xdr:colOff>
      <xdr:row>34</xdr:row>
      <xdr:rowOff>57150</xdr:rowOff>
    </xdr:from>
    <xdr:to>
      <xdr:col>1</xdr:col>
      <xdr:colOff>498475</xdr:colOff>
      <xdr:row>34</xdr:row>
      <xdr:rowOff>57150</xdr:rowOff>
    </xdr:to>
    <xdr:sp>
      <xdr:nvSpPr>
        <xdr:cNvPr id="18442" name="Line 10"/>
        <xdr:cNvSpPr/>
      </xdr:nvSpPr>
      <xdr:spPr>
        <a:xfrm>
          <a:off x="844550" y="8178800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302260</xdr:colOff>
      <xdr:row>33</xdr:row>
      <xdr:rowOff>94615</xdr:rowOff>
    </xdr:from>
    <xdr:to>
      <xdr:col>5</xdr:col>
      <xdr:colOff>374015</xdr:colOff>
      <xdr:row>33</xdr:row>
      <xdr:rowOff>94615</xdr:rowOff>
    </xdr:to>
    <xdr:sp>
      <xdr:nvSpPr>
        <xdr:cNvPr id="18443" name="Line 11"/>
        <xdr:cNvSpPr/>
      </xdr:nvSpPr>
      <xdr:spPr>
        <a:xfrm>
          <a:off x="3280410" y="7936865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302260</xdr:colOff>
      <xdr:row>34</xdr:row>
      <xdr:rowOff>94615</xdr:rowOff>
    </xdr:from>
    <xdr:to>
      <xdr:col>5</xdr:col>
      <xdr:colOff>374015</xdr:colOff>
      <xdr:row>34</xdr:row>
      <xdr:rowOff>94615</xdr:rowOff>
    </xdr:to>
    <xdr:sp>
      <xdr:nvSpPr>
        <xdr:cNvPr id="18444" name="Line 12"/>
        <xdr:cNvSpPr/>
      </xdr:nvSpPr>
      <xdr:spPr>
        <a:xfrm>
          <a:off x="3280410" y="8216265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80010</xdr:colOff>
      <xdr:row>35</xdr:row>
      <xdr:rowOff>57150</xdr:rowOff>
    </xdr:from>
    <xdr:to>
      <xdr:col>1</xdr:col>
      <xdr:colOff>151130</xdr:colOff>
      <xdr:row>35</xdr:row>
      <xdr:rowOff>57150</xdr:rowOff>
    </xdr:to>
    <xdr:sp>
      <xdr:nvSpPr>
        <xdr:cNvPr id="18445" name="Line 13"/>
        <xdr:cNvSpPr/>
      </xdr:nvSpPr>
      <xdr:spPr>
        <a:xfrm>
          <a:off x="497840" y="845820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17780</xdr:colOff>
      <xdr:row>35</xdr:row>
      <xdr:rowOff>94615</xdr:rowOff>
    </xdr:from>
    <xdr:to>
      <xdr:col>5</xdr:col>
      <xdr:colOff>88900</xdr:colOff>
      <xdr:row>35</xdr:row>
      <xdr:rowOff>94615</xdr:rowOff>
    </xdr:to>
    <xdr:sp>
      <xdr:nvSpPr>
        <xdr:cNvPr id="18446" name="Line 14"/>
        <xdr:cNvSpPr/>
      </xdr:nvSpPr>
      <xdr:spPr>
        <a:xfrm>
          <a:off x="2995930" y="8495665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337820</xdr:colOff>
      <xdr:row>2</xdr:row>
      <xdr:rowOff>29210</xdr:rowOff>
    </xdr:from>
    <xdr:to>
      <xdr:col>1</xdr:col>
      <xdr:colOff>453390</xdr:colOff>
      <xdr:row>2</xdr:row>
      <xdr:rowOff>29210</xdr:rowOff>
    </xdr:to>
    <xdr:sp>
      <xdr:nvSpPr>
        <xdr:cNvPr id="18447" name="Line 15"/>
        <xdr:cNvSpPr/>
      </xdr:nvSpPr>
      <xdr:spPr>
        <a:xfrm>
          <a:off x="755650" y="582930"/>
          <a:ext cx="11557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80010</xdr:colOff>
      <xdr:row>1</xdr:row>
      <xdr:rowOff>28575</xdr:rowOff>
    </xdr:from>
    <xdr:to>
      <xdr:col>3</xdr:col>
      <xdr:colOff>195580</xdr:colOff>
      <xdr:row>1</xdr:row>
      <xdr:rowOff>28575</xdr:rowOff>
    </xdr:to>
    <xdr:sp>
      <xdr:nvSpPr>
        <xdr:cNvPr id="18448" name="Line 16"/>
        <xdr:cNvSpPr/>
      </xdr:nvSpPr>
      <xdr:spPr>
        <a:xfrm>
          <a:off x="1778000" y="358775"/>
          <a:ext cx="11557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337820</xdr:colOff>
      <xdr:row>2</xdr:row>
      <xdr:rowOff>29210</xdr:rowOff>
    </xdr:from>
    <xdr:to>
      <xdr:col>5</xdr:col>
      <xdr:colOff>453390</xdr:colOff>
      <xdr:row>2</xdr:row>
      <xdr:rowOff>29210</xdr:rowOff>
    </xdr:to>
    <xdr:sp>
      <xdr:nvSpPr>
        <xdr:cNvPr id="18449" name="Line 17"/>
        <xdr:cNvSpPr/>
      </xdr:nvSpPr>
      <xdr:spPr>
        <a:xfrm>
          <a:off x="3315970" y="582930"/>
          <a:ext cx="11557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480060</xdr:colOff>
      <xdr:row>1</xdr:row>
      <xdr:rowOff>28575</xdr:rowOff>
    </xdr:from>
    <xdr:to>
      <xdr:col>7</xdr:col>
      <xdr:colOff>594995</xdr:colOff>
      <xdr:row>1</xdr:row>
      <xdr:rowOff>28575</xdr:rowOff>
    </xdr:to>
    <xdr:sp>
      <xdr:nvSpPr>
        <xdr:cNvPr id="18450" name="Line 18"/>
        <xdr:cNvSpPr/>
      </xdr:nvSpPr>
      <xdr:spPr>
        <a:xfrm>
          <a:off x="4809490" y="358775"/>
          <a:ext cx="11493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453390</xdr:colOff>
      <xdr:row>52</xdr:row>
      <xdr:rowOff>76200</xdr:rowOff>
    </xdr:from>
    <xdr:to>
      <xdr:col>2</xdr:col>
      <xdr:colOff>524510</xdr:colOff>
      <xdr:row>52</xdr:row>
      <xdr:rowOff>76200</xdr:rowOff>
    </xdr:to>
    <xdr:sp>
      <xdr:nvSpPr>
        <xdr:cNvPr id="18454" name="Line 22"/>
        <xdr:cNvSpPr/>
      </xdr:nvSpPr>
      <xdr:spPr>
        <a:xfrm>
          <a:off x="1511300" y="1241298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142240</xdr:colOff>
      <xdr:row>52</xdr:row>
      <xdr:rowOff>66675</xdr:rowOff>
    </xdr:from>
    <xdr:to>
      <xdr:col>6</xdr:col>
      <xdr:colOff>240030</xdr:colOff>
      <xdr:row>52</xdr:row>
      <xdr:rowOff>66675</xdr:rowOff>
    </xdr:to>
    <xdr:sp>
      <xdr:nvSpPr>
        <xdr:cNvPr id="18457" name="Line 25"/>
        <xdr:cNvSpPr/>
      </xdr:nvSpPr>
      <xdr:spPr>
        <a:xfrm>
          <a:off x="3760470" y="12403455"/>
          <a:ext cx="97790" cy="0"/>
        </a:xfrm>
        <a:prstGeom prst="line">
          <a:avLst/>
        </a:prstGeom>
        <a:ln w="38100" cap="flat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488950</xdr:colOff>
      <xdr:row>52</xdr:row>
      <xdr:rowOff>76200</xdr:rowOff>
    </xdr:from>
    <xdr:to>
      <xdr:col>6</xdr:col>
      <xdr:colOff>560070</xdr:colOff>
      <xdr:row>52</xdr:row>
      <xdr:rowOff>76200</xdr:rowOff>
    </xdr:to>
    <xdr:sp>
      <xdr:nvSpPr>
        <xdr:cNvPr id="18458" name="Line 26"/>
        <xdr:cNvSpPr/>
      </xdr:nvSpPr>
      <xdr:spPr>
        <a:xfrm>
          <a:off x="4107180" y="1241298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426720</xdr:colOff>
      <xdr:row>53</xdr:row>
      <xdr:rowOff>57150</xdr:rowOff>
    </xdr:from>
    <xdr:to>
      <xdr:col>1</xdr:col>
      <xdr:colOff>498475</xdr:colOff>
      <xdr:row>53</xdr:row>
      <xdr:rowOff>57150</xdr:rowOff>
    </xdr:to>
    <xdr:sp>
      <xdr:nvSpPr>
        <xdr:cNvPr id="18459" name="Line 27"/>
        <xdr:cNvSpPr/>
      </xdr:nvSpPr>
      <xdr:spPr>
        <a:xfrm>
          <a:off x="844550" y="12673330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426720</xdr:colOff>
      <xdr:row>54</xdr:row>
      <xdr:rowOff>57150</xdr:rowOff>
    </xdr:from>
    <xdr:to>
      <xdr:col>1</xdr:col>
      <xdr:colOff>498475</xdr:colOff>
      <xdr:row>54</xdr:row>
      <xdr:rowOff>57150</xdr:rowOff>
    </xdr:to>
    <xdr:sp>
      <xdr:nvSpPr>
        <xdr:cNvPr id="18460" name="Line 28"/>
        <xdr:cNvSpPr/>
      </xdr:nvSpPr>
      <xdr:spPr>
        <a:xfrm>
          <a:off x="844550" y="12952730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346710</xdr:colOff>
      <xdr:row>53</xdr:row>
      <xdr:rowOff>66675</xdr:rowOff>
    </xdr:from>
    <xdr:to>
      <xdr:col>5</xdr:col>
      <xdr:colOff>418465</xdr:colOff>
      <xdr:row>53</xdr:row>
      <xdr:rowOff>66675</xdr:rowOff>
    </xdr:to>
    <xdr:sp>
      <xdr:nvSpPr>
        <xdr:cNvPr id="18461" name="Line 29"/>
        <xdr:cNvSpPr/>
      </xdr:nvSpPr>
      <xdr:spPr>
        <a:xfrm>
          <a:off x="3324860" y="12682855"/>
          <a:ext cx="717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337820</xdr:colOff>
      <xdr:row>54</xdr:row>
      <xdr:rowOff>66675</xdr:rowOff>
    </xdr:from>
    <xdr:to>
      <xdr:col>5</xdr:col>
      <xdr:colOff>408940</xdr:colOff>
      <xdr:row>54</xdr:row>
      <xdr:rowOff>66675</xdr:rowOff>
    </xdr:to>
    <xdr:sp>
      <xdr:nvSpPr>
        <xdr:cNvPr id="18462" name="Line 30"/>
        <xdr:cNvSpPr/>
      </xdr:nvSpPr>
      <xdr:spPr>
        <a:xfrm>
          <a:off x="3315970" y="12962255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97790</xdr:colOff>
      <xdr:row>55</xdr:row>
      <xdr:rowOff>57150</xdr:rowOff>
    </xdr:from>
    <xdr:to>
      <xdr:col>1</xdr:col>
      <xdr:colOff>168910</xdr:colOff>
      <xdr:row>55</xdr:row>
      <xdr:rowOff>57150</xdr:rowOff>
    </xdr:to>
    <xdr:sp>
      <xdr:nvSpPr>
        <xdr:cNvPr id="18463" name="Line 31"/>
        <xdr:cNvSpPr/>
      </xdr:nvSpPr>
      <xdr:spPr>
        <a:xfrm>
          <a:off x="515620" y="1323213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8890</xdr:colOff>
      <xdr:row>55</xdr:row>
      <xdr:rowOff>66675</xdr:rowOff>
    </xdr:from>
    <xdr:to>
      <xdr:col>5</xdr:col>
      <xdr:colOff>80010</xdr:colOff>
      <xdr:row>55</xdr:row>
      <xdr:rowOff>66675</xdr:rowOff>
    </xdr:to>
    <xdr:sp>
      <xdr:nvSpPr>
        <xdr:cNvPr id="18464" name="Line 32"/>
        <xdr:cNvSpPr/>
      </xdr:nvSpPr>
      <xdr:spPr>
        <a:xfrm>
          <a:off x="2987040" y="13241655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97790</xdr:colOff>
      <xdr:row>52</xdr:row>
      <xdr:rowOff>37465</xdr:rowOff>
    </xdr:from>
    <xdr:to>
      <xdr:col>2</xdr:col>
      <xdr:colOff>204470</xdr:colOff>
      <xdr:row>52</xdr:row>
      <xdr:rowOff>66675</xdr:rowOff>
    </xdr:to>
    <xdr:sp>
      <xdr:nvSpPr>
        <xdr:cNvPr id="18465" name="FreeForm 33"/>
        <xdr:cNvSpPr/>
      </xdr:nvSpPr>
      <xdr:spPr>
        <a:xfrm>
          <a:off x="1155700" y="12374245"/>
          <a:ext cx="106680" cy="29210"/>
        </a:xfrm>
        <a:custGeom>
          <a:avLst/>
          <a:gdLst/>
          <a:ahLst/>
          <a:cxnLst/>
          <a:pathLst>
            <a:path w="41" h="14">
              <a:moveTo>
                <a:pt x="0" y="12"/>
              </a:moveTo>
              <a:cubicBezTo>
                <a:pt x="4" y="6"/>
                <a:pt x="9" y="1"/>
                <a:pt x="13" y="1"/>
              </a:cubicBezTo>
              <a:cubicBezTo>
                <a:pt x="17" y="1"/>
                <a:pt x="22" y="12"/>
                <a:pt x="26" y="13"/>
              </a:cubicBezTo>
              <a:cubicBezTo>
                <a:pt x="30" y="14"/>
                <a:pt x="37" y="8"/>
                <a:pt x="39" y="6"/>
              </a:cubicBezTo>
              <a:cubicBezTo>
                <a:pt x="41" y="4"/>
                <a:pt x="41" y="2"/>
                <a:pt x="41" y="0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302260</xdr:colOff>
      <xdr:row>52</xdr:row>
      <xdr:rowOff>37465</xdr:rowOff>
    </xdr:from>
    <xdr:to>
      <xdr:col>2</xdr:col>
      <xdr:colOff>391160</xdr:colOff>
      <xdr:row>52</xdr:row>
      <xdr:rowOff>66675</xdr:rowOff>
    </xdr:to>
    <xdr:sp>
      <xdr:nvSpPr>
        <xdr:cNvPr id="18466" name="FreeForm 34"/>
        <xdr:cNvSpPr/>
      </xdr:nvSpPr>
      <xdr:spPr>
        <a:xfrm>
          <a:off x="1360170" y="12374245"/>
          <a:ext cx="88900" cy="29210"/>
        </a:xfrm>
        <a:custGeom>
          <a:avLst/>
          <a:gdLst/>
          <a:ahLst/>
          <a:cxnLst/>
          <a:pathLst>
            <a:path w="41" h="14">
              <a:moveTo>
                <a:pt x="0" y="12"/>
              </a:moveTo>
              <a:cubicBezTo>
                <a:pt x="4" y="6"/>
                <a:pt x="9" y="1"/>
                <a:pt x="13" y="1"/>
              </a:cubicBezTo>
              <a:cubicBezTo>
                <a:pt x="17" y="1"/>
                <a:pt x="22" y="12"/>
                <a:pt x="26" y="13"/>
              </a:cubicBezTo>
              <a:cubicBezTo>
                <a:pt x="30" y="14"/>
                <a:pt x="37" y="8"/>
                <a:pt x="39" y="6"/>
              </a:cubicBezTo>
              <a:cubicBezTo>
                <a:pt x="41" y="4"/>
                <a:pt x="41" y="2"/>
                <a:pt x="41" y="0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346710</xdr:colOff>
      <xdr:row>52</xdr:row>
      <xdr:rowOff>86360</xdr:rowOff>
    </xdr:from>
    <xdr:to>
      <xdr:col>1</xdr:col>
      <xdr:colOff>409575</xdr:colOff>
      <xdr:row>52</xdr:row>
      <xdr:rowOff>114935</xdr:rowOff>
    </xdr:to>
    <xdr:sp>
      <xdr:nvSpPr>
        <xdr:cNvPr id="18467" name="FreeForm 35"/>
        <xdr:cNvSpPr/>
      </xdr:nvSpPr>
      <xdr:spPr>
        <a:xfrm>
          <a:off x="764540" y="12423140"/>
          <a:ext cx="62865" cy="28575"/>
        </a:xfrm>
        <a:custGeom>
          <a:avLst/>
          <a:gdLst/>
          <a:ahLst/>
          <a:cxnLst/>
          <a:pathLst>
            <a:path w="41" h="14">
              <a:moveTo>
                <a:pt x="0" y="12"/>
              </a:moveTo>
              <a:cubicBezTo>
                <a:pt x="4" y="6"/>
                <a:pt x="9" y="1"/>
                <a:pt x="13" y="1"/>
              </a:cubicBezTo>
              <a:cubicBezTo>
                <a:pt x="17" y="1"/>
                <a:pt x="22" y="12"/>
                <a:pt x="26" y="13"/>
              </a:cubicBezTo>
              <a:cubicBezTo>
                <a:pt x="30" y="14"/>
                <a:pt x="37" y="8"/>
                <a:pt x="39" y="6"/>
              </a:cubicBezTo>
              <a:cubicBezTo>
                <a:pt x="41" y="4"/>
                <a:pt x="41" y="2"/>
                <a:pt x="41" y="0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355600</xdr:colOff>
      <xdr:row>52</xdr:row>
      <xdr:rowOff>86360</xdr:rowOff>
    </xdr:from>
    <xdr:to>
      <xdr:col>1</xdr:col>
      <xdr:colOff>17780</xdr:colOff>
      <xdr:row>52</xdr:row>
      <xdr:rowOff>114300</xdr:rowOff>
    </xdr:to>
    <xdr:sp>
      <xdr:nvSpPr>
        <xdr:cNvPr id="18468" name="FreeForm 36"/>
        <xdr:cNvSpPr/>
      </xdr:nvSpPr>
      <xdr:spPr>
        <a:xfrm>
          <a:off x="355600" y="12423140"/>
          <a:ext cx="80010" cy="27940"/>
        </a:xfrm>
        <a:custGeom>
          <a:avLst/>
          <a:gdLst/>
          <a:ahLst/>
          <a:cxnLst/>
          <a:pathLst>
            <a:path w="41" h="14">
              <a:moveTo>
                <a:pt x="0" y="12"/>
              </a:moveTo>
              <a:cubicBezTo>
                <a:pt x="4" y="6"/>
                <a:pt x="9" y="1"/>
                <a:pt x="13" y="1"/>
              </a:cubicBezTo>
              <a:cubicBezTo>
                <a:pt x="17" y="1"/>
                <a:pt x="22" y="12"/>
                <a:pt x="26" y="13"/>
              </a:cubicBezTo>
              <a:cubicBezTo>
                <a:pt x="30" y="14"/>
                <a:pt x="37" y="8"/>
                <a:pt x="39" y="6"/>
              </a:cubicBezTo>
              <a:cubicBezTo>
                <a:pt x="41" y="4"/>
                <a:pt x="41" y="2"/>
                <a:pt x="41" y="0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97790</xdr:colOff>
      <xdr:row>52</xdr:row>
      <xdr:rowOff>0</xdr:rowOff>
    </xdr:from>
    <xdr:to>
      <xdr:col>2</xdr:col>
      <xdr:colOff>213360</xdr:colOff>
      <xdr:row>52</xdr:row>
      <xdr:rowOff>0</xdr:rowOff>
    </xdr:to>
    <xdr:sp>
      <xdr:nvSpPr>
        <xdr:cNvPr id="18469" name="Line 37"/>
        <xdr:cNvSpPr/>
      </xdr:nvSpPr>
      <xdr:spPr>
        <a:xfrm flipV="1">
          <a:off x="1155700" y="12336780"/>
          <a:ext cx="11557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293370</xdr:colOff>
      <xdr:row>52</xdr:row>
      <xdr:rowOff>0</xdr:rowOff>
    </xdr:from>
    <xdr:to>
      <xdr:col>2</xdr:col>
      <xdr:colOff>408940</xdr:colOff>
      <xdr:row>52</xdr:row>
      <xdr:rowOff>0</xdr:rowOff>
    </xdr:to>
    <xdr:sp>
      <xdr:nvSpPr>
        <xdr:cNvPr id="18470" name="Line 38"/>
        <xdr:cNvSpPr/>
      </xdr:nvSpPr>
      <xdr:spPr>
        <a:xfrm flipV="1">
          <a:off x="1351280" y="12336780"/>
          <a:ext cx="11557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248920</xdr:colOff>
      <xdr:row>41</xdr:row>
      <xdr:rowOff>66675</xdr:rowOff>
    </xdr:from>
    <xdr:to>
      <xdr:col>1</xdr:col>
      <xdr:colOff>337820</xdr:colOff>
      <xdr:row>41</xdr:row>
      <xdr:rowOff>95885</xdr:rowOff>
    </xdr:to>
    <xdr:sp>
      <xdr:nvSpPr>
        <xdr:cNvPr id="18471" name="FreeForm 39"/>
        <xdr:cNvSpPr/>
      </xdr:nvSpPr>
      <xdr:spPr>
        <a:xfrm>
          <a:off x="666750" y="9850755"/>
          <a:ext cx="88900" cy="29210"/>
        </a:xfrm>
        <a:custGeom>
          <a:avLst/>
          <a:gdLst/>
          <a:ahLst/>
          <a:cxnLst/>
          <a:pathLst>
            <a:path w="41" h="14">
              <a:moveTo>
                <a:pt x="0" y="12"/>
              </a:moveTo>
              <a:cubicBezTo>
                <a:pt x="4" y="6"/>
                <a:pt x="9" y="1"/>
                <a:pt x="13" y="1"/>
              </a:cubicBezTo>
              <a:cubicBezTo>
                <a:pt x="17" y="1"/>
                <a:pt x="22" y="12"/>
                <a:pt x="26" y="13"/>
              </a:cubicBezTo>
              <a:cubicBezTo>
                <a:pt x="30" y="14"/>
                <a:pt x="37" y="8"/>
                <a:pt x="39" y="6"/>
              </a:cubicBezTo>
              <a:cubicBezTo>
                <a:pt x="41" y="4"/>
                <a:pt x="41" y="2"/>
                <a:pt x="41" y="0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240030</xdr:colOff>
      <xdr:row>41</xdr:row>
      <xdr:rowOff>29210</xdr:rowOff>
    </xdr:from>
    <xdr:to>
      <xdr:col>1</xdr:col>
      <xdr:colOff>355600</xdr:colOff>
      <xdr:row>41</xdr:row>
      <xdr:rowOff>29210</xdr:rowOff>
    </xdr:to>
    <xdr:sp>
      <xdr:nvSpPr>
        <xdr:cNvPr id="18472" name="Line 40"/>
        <xdr:cNvSpPr/>
      </xdr:nvSpPr>
      <xdr:spPr>
        <a:xfrm flipV="1">
          <a:off x="657860" y="9813290"/>
          <a:ext cx="11557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391160</xdr:colOff>
      <xdr:row>37</xdr:row>
      <xdr:rowOff>28575</xdr:rowOff>
    </xdr:from>
    <xdr:to>
      <xdr:col>1</xdr:col>
      <xdr:colOff>498475</xdr:colOff>
      <xdr:row>37</xdr:row>
      <xdr:rowOff>57150</xdr:rowOff>
    </xdr:to>
    <xdr:sp>
      <xdr:nvSpPr>
        <xdr:cNvPr id="18473" name="FreeForm 41"/>
        <xdr:cNvSpPr/>
      </xdr:nvSpPr>
      <xdr:spPr>
        <a:xfrm>
          <a:off x="808990" y="8932545"/>
          <a:ext cx="107315" cy="28575"/>
        </a:xfrm>
        <a:custGeom>
          <a:avLst/>
          <a:gdLst/>
          <a:ahLst/>
          <a:cxnLst/>
          <a:pathLst>
            <a:path w="41" h="14">
              <a:moveTo>
                <a:pt x="0" y="12"/>
              </a:moveTo>
              <a:cubicBezTo>
                <a:pt x="4" y="6"/>
                <a:pt x="9" y="1"/>
                <a:pt x="13" y="1"/>
              </a:cubicBezTo>
              <a:cubicBezTo>
                <a:pt x="17" y="1"/>
                <a:pt x="22" y="12"/>
                <a:pt x="26" y="13"/>
              </a:cubicBezTo>
              <a:cubicBezTo>
                <a:pt x="30" y="14"/>
                <a:pt x="37" y="8"/>
                <a:pt x="39" y="6"/>
              </a:cubicBezTo>
              <a:cubicBezTo>
                <a:pt x="41" y="4"/>
                <a:pt x="41" y="2"/>
                <a:pt x="41" y="0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373380</xdr:colOff>
      <xdr:row>2</xdr:row>
      <xdr:rowOff>66675</xdr:rowOff>
    </xdr:from>
    <xdr:to>
      <xdr:col>12</xdr:col>
      <xdr:colOff>240030</xdr:colOff>
      <xdr:row>2</xdr:row>
      <xdr:rowOff>66675</xdr:rowOff>
    </xdr:to>
    <xdr:sp>
      <xdr:nvSpPr>
        <xdr:cNvPr id="18474" name="Line 42"/>
        <xdr:cNvSpPr/>
      </xdr:nvSpPr>
      <xdr:spPr>
        <a:xfrm>
          <a:off x="7547610" y="620395"/>
          <a:ext cx="50673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426720</xdr:colOff>
      <xdr:row>2</xdr:row>
      <xdr:rowOff>104775</xdr:rowOff>
    </xdr:from>
    <xdr:to>
      <xdr:col>11</xdr:col>
      <xdr:colOff>471170</xdr:colOff>
      <xdr:row>2</xdr:row>
      <xdr:rowOff>104775</xdr:rowOff>
    </xdr:to>
    <xdr:sp>
      <xdr:nvSpPr>
        <xdr:cNvPr id="18475" name="Line 43"/>
        <xdr:cNvSpPr/>
      </xdr:nvSpPr>
      <xdr:spPr>
        <a:xfrm>
          <a:off x="7600950" y="65849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115570</xdr:colOff>
      <xdr:row>2</xdr:row>
      <xdr:rowOff>104775</xdr:rowOff>
    </xdr:from>
    <xdr:to>
      <xdr:col>12</xdr:col>
      <xdr:colOff>160020</xdr:colOff>
      <xdr:row>2</xdr:row>
      <xdr:rowOff>104775</xdr:rowOff>
    </xdr:to>
    <xdr:sp>
      <xdr:nvSpPr>
        <xdr:cNvPr id="18476" name="Line 44"/>
        <xdr:cNvSpPr/>
      </xdr:nvSpPr>
      <xdr:spPr>
        <a:xfrm>
          <a:off x="7929880" y="65849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44450</xdr:colOff>
      <xdr:row>2</xdr:row>
      <xdr:rowOff>57150</xdr:rowOff>
    </xdr:from>
    <xdr:to>
      <xdr:col>11</xdr:col>
      <xdr:colOff>88900</xdr:colOff>
      <xdr:row>2</xdr:row>
      <xdr:rowOff>57150</xdr:rowOff>
    </xdr:to>
    <xdr:sp>
      <xdr:nvSpPr>
        <xdr:cNvPr id="18477" name="Line 45"/>
        <xdr:cNvSpPr/>
      </xdr:nvSpPr>
      <xdr:spPr>
        <a:xfrm>
          <a:off x="7218680" y="610870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373380</xdr:colOff>
      <xdr:row>3</xdr:row>
      <xdr:rowOff>66675</xdr:rowOff>
    </xdr:from>
    <xdr:to>
      <xdr:col>12</xdr:col>
      <xdr:colOff>417830</xdr:colOff>
      <xdr:row>3</xdr:row>
      <xdr:rowOff>66675</xdr:rowOff>
    </xdr:to>
    <xdr:sp>
      <xdr:nvSpPr>
        <xdr:cNvPr id="18478" name="Line 46"/>
        <xdr:cNvSpPr/>
      </xdr:nvSpPr>
      <xdr:spPr>
        <a:xfrm>
          <a:off x="7547610" y="899795"/>
          <a:ext cx="68453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426720</xdr:colOff>
      <xdr:row>3</xdr:row>
      <xdr:rowOff>104775</xdr:rowOff>
    </xdr:from>
    <xdr:to>
      <xdr:col>11</xdr:col>
      <xdr:colOff>471170</xdr:colOff>
      <xdr:row>3</xdr:row>
      <xdr:rowOff>104775</xdr:rowOff>
    </xdr:to>
    <xdr:sp>
      <xdr:nvSpPr>
        <xdr:cNvPr id="18479" name="Line 47"/>
        <xdr:cNvSpPr/>
      </xdr:nvSpPr>
      <xdr:spPr>
        <a:xfrm>
          <a:off x="7600950" y="93789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115570</xdr:colOff>
      <xdr:row>3</xdr:row>
      <xdr:rowOff>104775</xdr:rowOff>
    </xdr:from>
    <xdr:to>
      <xdr:col>12</xdr:col>
      <xdr:colOff>160020</xdr:colOff>
      <xdr:row>3</xdr:row>
      <xdr:rowOff>104775</xdr:rowOff>
    </xdr:to>
    <xdr:sp>
      <xdr:nvSpPr>
        <xdr:cNvPr id="18480" name="Line 48"/>
        <xdr:cNvSpPr/>
      </xdr:nvSpPr>
      <xdr:spPr>
        <a:xfrm>
          <a:off x="7929880" y="93789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44450</xdr:colOff>
      <xdr:row>3</xdr:row>
      <xdr:rowOff>57150</xdr:rowOff>
    </xdr:from>
    <xdr:to>
      <xdr:col>11</xdr:col>
      <xdr:colOff>88900</xdr:colOff>
      <xdr:row>3</xdr:row>
      <xdr:rowOff>57150</xdr:rowOff>
    </xdr:to>
    <xdr:sp>
      <xdr:nvSpPr>
        <xdr:cNvPr id="18481" name="Line 49"/>
        <xdr:cNvSpPr/>
      </xdr:nvSpPr>
      <xdr:spPr>
        <a:xfrm>
          <a:off x="7218680" y="890270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444500</xdr:colOff>
      <xdr:row>6</xdr:row>
      <xdr:rowOff>94615</xdr:rowOff>
    </xdr:from>
    <xdr:to>
      <xdr:col>12</xdr:col>
      <xdr:colOff>426720</xdr:colOff>
      <xdr:row>6</xdr:row>
      <xdr:rowOff>94615</xdr:rowOff>
    </xdr:to>
    <xdr:sp>
      <xdr:nvSpPr>
        <xdr:cNvPr id="18482" name="Line 50"/>
        <xdr:cNvSpPr/>
      </xdr:nvSpPr>
      <xdr:spPr>
        <a:xfrm>
          <a:off x="7618730" y="1640205"/>
          <a:ext cx="62230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586740</xdr:colOff>
      <xdr:row>6</xdr:row>
      <xdr:rowOff>142875</xdr:rowOff>
    </xdr:from>
    <xdr:to>
      <xdr:col>11</xdr:col>
      <xdr:colOff>631190</xdr:colOff>
      <xdr:row>6</xdr:row>
      <xdr:rowOff>142875</xdr:rowOff>
    </xdr:to>
    <xdr:sp>
      <xdr:nvSpPr>
        <xdr:cNvPr id="18483" name="Line 51"/>
        <xdr:cNvSpPr/>
      </xdr:nvSpPr>
      <xdr:spPr>
        <a:xfrm>
          <a:off x="7760970" y="168846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284480</xdr:colOff>
      <xdr:row>6</xdr:row>
      <xdr:rowOff>142875</xdr:rowOff>
    </xdr:from>
    <xdr:to>
      <xdr:col>12</xdr:col>
      <xdr:colOff>328930</xdr:colOff>
      <xdr:row>6</xdr:row>
      <xdr:rowOff>142875</xdr:rowOff>
    </xdr:to>
    <xdr:sp>
      <xdr:nvSpPr>
        <xdr:cNvPr id="18484" name="Line 52"/>
        <xdr:cNvSpPr/>
      </xdr:nvSpPr>
      <xdr:spPr>
        <a:xfrm>
          <a:off x="8098790" y="168846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124460</xdr:colOff>
      <xdr:row>6</xdr:row>
      <xdr:rowOff>94615</xdr:rowOff>
    </xdr:from>
    <xdr:to>
      <xdr:col>11</xdr:col>
      <xdr:colOff>168910</xdr:colOff>
      <xdr:row>6</xdr:row>
      <xdr:rowOff>94615</xdr:rowOff>
    </xdr:to>
    <xdr:sp>
      <xdr:nvSpPr>
        <xdr:cNvPr id="18485" name="Line 53"/>
        <xdr:cNvSpPr/>
      </xdr:nvSpPr>
      <xdr:spPr>
        <a:xfrm>
          <a:off x="7298690" y="1640205"/>
          <a:ext cx="4445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435610</xdr:colOff>
      <xdr:row>8</xdr:row>
      <xdr:rowOff>86360</xdr:rowOff>
    </xdr:from>
    <xdr:to>
      <xdr:col>11</xdr:col>
      <xdr:colOff>542290</xdr:colOff>
      <xdr:row>8</xdr:row>
      <xdr:rowOff>86360</xdr:rowOff>
    </xdr:to>
    <xdr:sp>
      <xdr:nvSpPr>
        <xdr:cNvPr id="18487" name="Line 55"/>
        <xdr:cNvSpPr/>
      </xdr:nvSpPr>
      <xdr:spPr>
        <a:xfrm flipV="1">
          <a:off x="7609840" y="2172970"/>
          <a:ext cx="10668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26670</xdr:colOff>
      <xdr:row>8</xdr:row>
      <xdr:rowOff>57150</xdr:rowOff>
    </xdr:from>
    <xdr:to>
      <xdr:col>11</xdr:col>
      <xdr:colOff>133985</xdr:colOff>
      <xdr:row>8</xdr:row>
      <xdr:rowOff>57150</xdr:rowOff>
    </xdr:to>
    <xdr:sp>
      <xdr:nvSpPr>
        <xdr:cNvPr id="18489" name="Line 57"/>
        <xdr:cNvSpPr/>
      </xdr:nvSpPr>
      <xdr:spPr>
        <a:xfrm>
          <a:off x="7200900" y="2143760"/>
          <a:ext cx="10731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435610</xdr:colOff>
      <xdr:row>10</xdr:row>
      <xdr:rowOff>86360</xdr:rowOff>
    </xdr:from>
    <xdr:to>
      <xdr:col>11</xdr:col>
      <xdr:colOff>542290</xdr:colOff>
      <xdr:row>10</xdr:row>
      <xdr:rowOff>86360</xdr:rowOff>
    </xdr:to>
    <xdr:sp>
      <xdr:nvSpPr>
        <xdr:cNvPr id="18490" name="Line 58"/>
        <xdr:cNvSpPr/>
      </xdr:nvSpPr>
      <xdr:spPr>
        <a:xfrm flipV="1">
          <a:off x="7609840" y="2675890"/>
          <a:ext cx="10668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26670</xdr:colOff>
      <xdr:row>10</xdr:row>
      <xdr:rowOff>57150</xdr:rowOff>
    </xdr:from>
    <xdr:to>
      <xdr:col>11</xdr:col>
      <xdr:colOff>133985</xdr:colOff>
      <xdr:row>10</xdr:row>
      <xdr:rowOff>57150</xdr:rowOff>
    </xdr:to>
    <xdr:sp>
      <xdr:nvSpPr>
        <xdr:cNvPr id="18491" name="Line 59"/>
        <xdr:cNvSpPr/>
      </xdr:nvSpPr>
      <xdr:spPr>
        <a:xfrm>
          <a:off x="7200900" y="2646680"/>
          <a:ext cx="10731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53340</xdr:colOff>
      <xdr:row>10</xdr:row>
      <xdr:rowOff>114300</xdr:rowOff>
    </xdr:from>
    <xdr:to>
      <xdr:col>12</xdr:col>
      <xdr:colOff>124460</xdr:colOff>
      <xdr:row>10</xdr:row>
      <xdr:rowOff>114300</xdr:rowOff>
    </xdr:to>
    <xdr:sp>
      <xdr:nvSpPr>
        <xdr:cNvPr id="18492" name="Line 60"/>
        <xdr:cNvSpPr/>
      </xdr:nvSpPr>
      <xdr:spPr>
        <a:xfrm flipV="1">
          <a:off x="7867650" y="2703830"/>
          <a:ext cx="7112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0</xdr:colOff>
      <xdr:row>11</xdr:row>
      <xdr:rowOff>19050</xdr:rowOff>
    </xdr:from>
    <xdr:to>
      <xdr:col>13</xdr:col>
      <xdr:colOff>222250</xdr:colOff>
      <xdr:row>13</xdr:row>
      <xdr:rowOff>152400</xdr:rowOff>
    </xdr:to>
    <xdr:pic>
      <xdr:nvPicPr>
        <xdr:cNvPr id="18493" name="Picture 61" descr="C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9660" y="2887980"/>
          <a:ext cx="250698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88900</xdr:colOff>
      <xdr:row>14</xdr:row>
      <xdr:rowOff>143510</xdr:rowOff>
    </xdr:from>
    <xdr:to>
      <xdr:col>11</xdr:col>
      <xdr:colOff>0</xdr:colOff>
      <xdr:row>17</xdr:row>
      <xdr:rowOff>19050</xdr:rowOff>
    </xdr:to>
    <xdr:pic>
      <xdr:nvPicPr>
        <xdr:cNvPr id="18494" name="Picture 62" descr="Cpd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69610" y="3683000"/>
          <a:ext cx="140462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515620</xdr:colOff>
      <xdr:row>14</xdr:row>
      <xdr:rowOff>123825</xdr:rowOff>
    </xdr:from>
    <xdr:to>
      <xdr:col>14</xdr:col>
      <xdr:colOff>8890</xdr:colOff>
      <xdr:row>16</xdr:row>
      <xdr:rowOff>190500</xdr:rowOff>
    </xdr:to>
    <xdr:pic>
      <xdr:nvPicPr>
        <xdr:cNvPr id="18495" name="Picture 63" descr="Cpc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89850" y="3663315"/>
          <a:ext cx="141351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97790</xdr:colOff>
      <xdr:row>18</xdr:row>
      <xdr:rowOff>66040</xdr:rowOff>
    </xdr:from>
    <xdr:to>
      <xdr:col>11</xdr:col>
      <xdr:colOff>26670</xdr:colOff>
      <xdr:row>20</xdr:row>
      <xdr:rowOff>85725</xdr:rowOff>
    </xdr:to>
    <xdr:pic>
      <xdr:nvPicPr>
        <xdr:cNvPr id="18496" name="Picture 64" descr="Pp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78500" y="4499610"/>
          <a:ext cx="14224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71120</xdr:colOff>
      <xdr:row>21</xdr:row>
      <xdr:rowOff>104775</xdr:rowOff>
    </xdr:from>
    <xdr:to>
      <xdr:col>10</xdr:col>
      <xdr:colOff>977900</xdr:colOff>
      <xdr:row>23</xdr:row>
      <xdr:rowOff>123825</xdr:rowOff>
    </xdr:to>
    <xdr:pic>
      <xdr:nvPicPr>
        <xdr:cNvPr id="18497" name="Picture 65" descr="Cp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51830" y="5208905"/>
          <a:ext cx="139573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542290</xdr:colOff>
      <xdr:row>21</xdr:row>
      <xdr:rowOff>76200</xdr:rowOff>
    </xdr:from>
    <xdr:to>
      <xdr:col>13</xdr:col>
      <xdr:colOff>604520</xdr:colOff>
      <xdr:row>23</xdr:row>
      <xdr:rowOff>104775</xdr:rowOff>
    </xdr:to>
    <xdr:pic>
      <xdr:nvPicPr>
        <xdr:cNvPr id="18498" name="Picture 66" descr="Cpl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16520" y="5180330"/>
          <a:ext cx="134239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168910</xdr:colOff>
      <xdr:row>28</xdr:row>
      <xdr:rowOff>95250</xdr:rowOff>
    </xdr:from>
    <xdr:to>
      <xdr:col>13</xdr:col>
      <xdr:colOff>248920</xdr:colOff>
      <xdr:row>31</xdr:row>
      <xdr:rowOff>9525</xdr:rowOff>
    </xdr:to>
    <xdr:pic>
      <xdr:nvPicPr>
        <xdr:cNvPr id="18499" name="Picture 67" descr="ST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49620" y="6764020"/>
          <a:ext cx="285369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186690</xdr:colOff>
      <xdr:row>32</xdr:row>
      <xdr:rowOff>104775</xdr:rowOff>
    </xdr:from>
    <xdr:to>
      <xdr:col>16</xdr:col>
      <xdr:colOff>133350</xdr:colOff>
      <xdr:row>34</xdr:row>
      <xdr:rowOff>123825</xdr:rowOff>
    </xdr:to>
    <xdr:pic>
      <xdr:nvPicPr>
        <xdr:cNvPr id="18500" name="Picture 68" descr="STDc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67400" y="7667625"/>
          <a:ext cx="4640580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632460</xdr:colOff>
      <xdr:row>8</xdr:row>
      <xdr:rowOff>152400</xdr:rowOff>
    </xdr:from>
    <xdr:to>
      <xdr:col>8</xdr:col>
      <xdr:colOff>632460</xdr:colOff>
      <xdr:row>11</xdr:row>
      <xdr:rowOff>0</xdr:rowOff>
    </xdr:to>
    <xdr:sp>
      <xdr:nvSpPr>
        <xdr:cNvPr id="19485" name="Line 29"/>
        <xdr:cNvSpPr/>
      </xdr:nvSpPr>
      <xdr:spPr>
        <a:xfrm>
          <a:off x="5834380" y="2047240"/>
          <a:ext cx="0" cy="518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334010</xdr:colOff>
      <xdr:row>6</xdr:row>
      <xdr:rowOff>190500</xdr:rowOff>
    </xdr:from>
    <xdr:to>
      <xdr:col>2</xdr:col>
      <xdr:colOff>469265</xdr:colOff>
      <xdr:row>6</xdr:row>
      <xdr:rowOff>190500</xdr:rowOff>
    </xdr:to>
    <xdr:sp>
      <xdr:nvSpPr>
        <xdr:cNvPr id="19496" name="Line 40"/>
        <xdr:cNvSpPr/>
      </xdr:nvSpPr>
      <xdr:spPr>
        <a:xfrm>
          <a:off x="1634490" y="1638300"/>
          <a:ext cx="1352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189865</xdr:colOff>
      <xdr:row>6</xdr:row>
      <xdr:rowOff>123825</xdr:rowOff>
    </xdr:from>
    <xdr:to>
      <xdr:col>8</xdr:col>
      <xdr:colOff>325120</xdr:colOff>
      <xdr:row>6</xdr:row>
      <xdr:rowOff>123825</xdr:rowOff>
    </xdr:to>
    <xdr:sp>
      <xdr:nvSpPr>
        <xdr:cNvPr id="19498" name="Line 42"/>
        <xdr:cNvSpPr/>
      </xdr:nvSpPr>
      <xdr:spPr>
        <a:xfrm>
          <a:off x="5391785" y="1571625"/>
          <a:ext cx="13525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243840</xdr:colOff>
      <xdr:row>3</xdr:row>
      <xdr:rowOff>180975</xdr:rowOff>
    </xdr:from>
    <xdr:to>
      <xdr:col>4</xdr:col>
      <xdr:colOff>342900</xdr:colOff>
      <xdr:row>12</xdr:row>
      <xdr:rowOff>29210</xdr:rowOff>
    </xdr:to>
    <xdr:grpSp>
      <xdr:nvGrpSpPr>
        <xdr:cNvPr id="19511" name="Group 55"/>
        <xdr:cNvGrpSpPr/>
      </xdr:nvGrpSpPr>
      <xdr:grpSpPr>
        <a:xfrm>
          <a:off x="243840" y="958215"/>
          <a:ext cx="2700020" cy="1859915"/>
          <a:chOff x="27" y="97"/>
          <a:chExt cx="299" cy="182"/>
        </a:xfrm>
      </xdr:grpSpPr>
      <xdr:sp>
        <xdr:nvSpPr>
          <xdr:cNvPr id="19464" name="Line 8"/>
          <xdr:cNvSpPr/>
        </xdr:nvSpPr>
        <xdr:spPr>
          <a:xfrm>
            <a:off x="31" y="256"/>
            <a:ext cx="295" cy="0"/>
          </a:xfrm>
          <a:prstGeom prst="line">
            <a:avLst/>
          </a:prstGeom>
          <a:ln w="127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465" name="Line 9"/>
          <xdr:cNvSpPr/>
        </xdr:nvSpPr>
        <xdr:spPr>
          <a:xfrm>
            <a:off x="111" y="103"/>
            <a:ext cx="0" cy="176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headEnd type="none" w="med" len="med"/>
            <a:tailEnd type="none" w="med" len="med"/>
          </a:ln>
        </xdr:spPr>
      </xdr:sp>
      <xdr:sp>
        <xdr:nvSpPr>
          <xdr:cNvPr id="19466" name="Line 10"/>
          <xdr:cNvSpPr/>
        </xdr:nvSpPr>
        <xdr:spPr>
          <a:xfrm>
            <a:off x="187" y="97"/>
            <a:ext cx="0" cy="176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468" name="Line 12"/>
          <xdr:cNvSpPr/>
        </xdr:nvSpPr>
        <xdr:spPr>
          <a:xfrm>
            <a:off x="228" y="206"/>
            <a:ext cx="0" cy="5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469" name="Line 13"/>
          <xdr:cNvSpPr/>
        </xdr:nvSpPr>
        <xdr:spPr>
          <a:xfrm>
            <a:off x="111" y="267"/>
            <a:ext cx="76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triangle" w="med" len="med"/>
            <a:tailEnd type="triangle" w="med" len="med"/>
          </a:ln>
        </xdr:spPr>
      </xdr:sp>
      <xdr:sp>
        <xdr:nvSpPr>
          <xdr:cNvPr id="19470" name="Line 14"/>
          <xdr:cNvSpPr/>
        </xdr:nvSpPr>
        <xdr:spPr>
          <a:xfrm flipV="1">
            <a:off x="187" y="227"/>
            <a:ext cx="40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triangle" w="med" len="med"/>
            <a:tailEnd type="triangle" w="med" len="med"/>
          </a:ln>
        </xdr:spPr>
      </xdr:sp>
      <xdr:sp>
        <xdr:nvSpPr>
          <xdr:cNvPr id="19471" name="Rectangle 15"/>
          <xdr:cNvSpPr/>
        </xdr:nvSpPr>
        <xdr:spPr>
          <a:xfrm>
            <a:off x="146" y="253"/>
            <a:ext cx="15" cy="2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z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72" name="Rectangle 16"/>
          <xdr:cNvSpPr/>
        </xdr:nvSpPr>
        <xdr:spPr>
          <a:xfrm>
            <a:off x="198" y="213"/>
            <a:ext cx="22" cy="24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δ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73" name="Rectangle 17"/>
          <xdr:cNvSpPr/>
        </xdr:nvSpPr>
        <xdr:spPr>
          <a:xfrm>
            <a:off x="99" y="118"/>
            <a:ext cx="2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SL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74" name="Rectangle 18"/>
          <xdr:cNvSpPr/>
        </xdr:nvSpPr>
        <xdr:spPr>
          <a:xfrm>
            <a:off x="27" y="203"/>
            <a:ext cx="25" cy="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Pz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75" name="FreeForm 19"/>
          <xdr:cNvSpPr/>
        </xdr:nvSpPr>
        <xdr:spPr>
          <a:xfrm>
            <a:off x="51" y="217"/>
            <a:ext cx="46" cy="25"/>
          </a:xfrm>
          <a:custGeom>
            <a:avLst/>
            <a:gdLst/>
            <a:ahLst/>
            <a:cxnLst/>
            <a:pathLst>
              <a:path w="46" h="25">
                <a:moveTo>
                  <a:pt x="0" y="0"/>
                </a:moveTo>
                <a:cubicBezTo>
                  <a:pt x="11" y="1"/>
                  <a:pt x="23" y="3"/>
                  <a:pt x="31" y="7"/>
                </a:cubicBezTo>
                <a:cubicBezTo>
                  <a:pt x="39" y="11"/>
                  <a:pt x="43" y="23"/>
                  <a:pt x="46" y="25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triangle" w="med" len="med"/>
          </a:ln>
        </xdr:spPr>
      </xdr:sp>
      <xdr:sp>
        <xdr:nvSpPr>
          <xdr:cNvPr id="19495" name="Rectangle 39"/>
          <xdr:cNvSpPr/>
        </xdr:nvSpPr>
        <xdr:spPr>
          <a:xfrm>
            <a:off x="180" y="161"/>
            <a:ext cx="19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X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507" name="FreeForm 51"/>
          <xdr:cNvSpPr/>
        </xdr:nvSpPr>
        <xdr:spPr>
          <a:xfrm>
            <a:off x="74" y="98"/>
            <a:ext cx="225" cy="159"/>
          </a:xfrm>
          <a:custGeom>
            <a:avLst/>
            <a:gdLst/>
            <a:ahLst/>
            <a:cxnLst/>
            <a:pathLst>
              <a:path w="552" h="402">
                <a:moveTo>
                  <a:pt x="0" y="401"/>
                </a:moveTo>
                <a:cubicBezTo>
                  <a:pt x="15" y="398"/>
                  <a:pt x="31" y="395"/>
                  <a:pt x="46" y="380"/>
                </a:cubicBezTo>
                <a:cubicBezTo>
                  <a:pt x="61" y="365"/>
                  <a:pt x="61" y="369"/>
                  <a:pt x="92" y="313"/>
                </a:cubicBezTo>
                <a:cubicBezTo>
                  <a:pt x="123" y="257"/>
                  <a:pt x="192" y="90"/>
                  <a:pt x="230" y="45"/>
                </a:cubicBezTo>
                <a:cubicBezTo>
                  <a:pt x="268" y="0"/>
                  <a:pt x="284" y="0"/>
                  <a:pt x="322" y="45"/>
                </a:cubicBezTo>
                <a:cubicBezTo>
                  <a:pt x="360" y="90"/>
                  <a:pt x="429" y="257"/>
                  <a:pt x="460" y="313"/>
                </a:cubicBezTo>
                <a:cubicBezTo>
                  <a:pt x="491" y="369"/>
                  <a:pt x="491" y="364"/>
                  <a:pt x="506" y="379"/>
                </a:cubicBezTo>
                <a:cubicBezTo>
                  <a:pt x="521" y="394"/>
                  <a:pt x="540" y="398"/>
                  <a:pt x="552" y="402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508" name="FreeForm 52"/>
          <xdr:cNvSpPr/>
        </xdr:nvSpPr>
        <xdr:spPr>
          <a:xfrm>
            <a:off x="77" y="222"/>
            <a:ext cx="34" cy="34"/>
          </a:xfrm>
          <a:custGeom>
            <a:avLst/>
            <a:gdLst/>
            <a:ahLst/>
            <a:cxnLst/>
            <a:pathLst>
              <a:path w="34" h="34">
                <a:moveTo>
                  <a:pt x="0" y="34"/>
                </a:moveTo>
                <a:lnTo>
                  <a:pt x="9" y="30"/>
                </a:lnTo>
                <a:lnTo>
                  <a:pt x="17" y="25"/>
                </a:lnTo>
                <a:lnTo>
                  <a:pt x="24" y="17"/>
                </a:lnTo>
                <a:lnTo>
                  <a:pt x="29" y="8"/>
                </a:lnTo>
                <a:lnTo>
                  <a:pt x="34" y="0"/>
                </a:lnTo>
                <a:lnTo>
                  <a:pt x="34" y="34"/>
                </a:lnTo>
                <a:lnTo>
                  <a:pt x="0" y="34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>
              <a:alpha val="100000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6</xdr:col>
      <xdr:colOff>153670</xdr:colOff>
      <xdr:row>3</xdr:row>
      <xdr:rowOff>180975</xdr:rowOff>
    </xdr:from>
    <xdr:to>
      <xdr:col>10</xdr:col>
      <xdr:colOff>342900</xdr:colOff>
      <xdr:row>12</xdr:row>
      <xdr:rowOff>29210</xdr:rowOff>
    </xdr:to>
    <xdr:grpSp>
      <xdr:nvGrpSpPr>
        <xdr:cNvPr id="19512" name="Group 56"/>
        <xdr:cNvGrpSpPr/>
      </xdr:nvGrpSpPr>
      <xdr:grpSpPr>
        <a:xfrm>
          <a:off x="4055110" y="958215"/>
          <a:ext cx="2790190" cy="1859915"/>
          <a:chOff x="449" y="97"/>
          <a:chExt cx="309" cy="182"/>
        </a:xfrm>
      </xdr:grpSpPr>
      <xdr:sp>
        <xdr:nvSpPr>
          <xdr:cNvPr id="19482" name="Line 26"/>
          <xdr:cNvSpPr/>
        </xdr:nvSpPr>
        <xdr:spPr>
          <a:xfrm>
            <a:off x="449" y="256"/>
            <a:ext cx="295" cy="0"/>
          </a:xfrm>
          <a:prstGeom prst="line">
            <a:avLst/>
          </a:prstGeom>
          <a:ln w="127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483" name="Line 27"/>
          <xdr:cNvSpPr/>
        </xdr:nvSpPr>
        <xdr:spPr>
          <a:xfrm>
            <a:off x="671" y="103"/>
            <a:ext cx="0" cy="176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headEnd type="none" w="med" len="med"/>
            <a:tailEnd type="none" w="med" len="med"/>
          </a:ln>
        </xdr:spPr>
      </xdr:sp>
      <xdr:sp>
        <xdr:nvSpPr>
          <xdr:cNvPr id="19484" name="Line 28"/>
          <xdr:cNvSpPr/>
        </xdr:nvSpPr>
        <xdr:spPr>
          <a:xfrm>
            <a:off x="605" y="97"/>
            <a:ext cx="0" cy="176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486" name="Line 30"/>
          <xdr:cNvSpPr/>
        </xdr:nvSpPr>
        <xdr:spPr>
          <a:xfrm>
            <a:off x="604" y="267"/>
            <a:ext cx="68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triangle" w="med" len="med"/>
            <a:tailEnd type="triangle" w="med" len="med"/>
          </a:ln>
        </xdr:spPr>
      </xdr:sp>
      <xdr:sp>
        <xdr:nvSpPr>
          <xdr:cNvPr id="19487" name="Line 31"/>
          <xdr:cNvSpPr/>
        </xdr:nvSpPr>
        <xdr:spPr>
          <a:xfrm flipV="1">
            <a:off x="605" y="227"/>
            <a:ext cx="40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triangle" w="med" len="med"/>
            <a:tailEnd type="triangle" w="med" len="med"/>
          </a:ln>
        </xdr:spPr>
      </xdr:sp>
      <xdr:sp>
        <xdr:nvSpPr>
          <xdr:cNvPr id="19488" name="Rectangle 32"/>
          <xdr:cNvSpPr/>
        </xdr:nvSpPr>
        <xdr:spPr>
          <a:xfrm>
            <a:off x="630" y="253"/>
            <a:ext cx="15" cy="2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z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89" name="Rectangle 33"/>
          <xdr:cNvSpPr/>
        </xdr:nvSpPr>
        <xdr:spPr>
          <a:xfrm>
            <a:off x="616" y="213"/>
            <a:ext cx="22" cy="24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δ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90" name="Rectangle 34"/>
          <xdr:cNvSpPr/>
        </xdr:nvSpPr>
        <xdr:spPr>
          <a:xfrm>
            <a:off x="653" y="120"/>
            <a:ext cx="2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SL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91" name="Rectangle 35"/>
          <xdr:cNvSpPr/>
        </xdr:nvSpPr>
        <xdr:spPr>
          <a:xfrm>
            <a:off x="733" y="202"/>
            <a:ext cx="25" cy="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Pz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492" name="FreeForm 36"/>
          <xdr:cNvSpPr/>
        </xdr:nvSpPr>
        <xdr:spPr>
          <a:xfrm flipH="1">
            <a:off x="695" y="213"/>
            <a:ext cx="40" cy="30"/>
          </a:xfrm>
          <a:custGeom>
            <a:avLst/>
            <a:gdLst/>
            <a:ahLst/>
            <a:cxnLst/>
            <a:pathLst>
              <a:path w="46" h="25">
                <a:moveTo>
                  <a:pt x="0" y="0"/>
                </a:moveTo>
                <a:cubicBezTo>
                  <a:pt x="11" y="1"/>
                  <a:pt x="23" y="3"/>
                  <a:pt x="31" y="7"/>
                </a:cubicBezTo>
                <a:cubicBezTo>
                  <a:pt x="39" y="11"/>
                  <a:pt x="43" y="23"/>
                  <a:pt x="46" y="25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triangle" w="med" len="med"/>
          </a:ln>
        </xdr:spPr>
      </xdr:sp>
      <xdr:sp>
        <xdr:nvSpPr>
          <xdr:cNvPr id="19497" name="Rectangle 41"/>
          <xdr:cNvSpPr/>
        </xdr:nvSpPr>
        <xdr:spPr>
          <a:xfrm>
            <a:off x="596" y="154"/>
            <a:ext cx="19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9525">
            <a:noFill/>
          </a:ln>
        </xdr:spPr>
        <xdr:txBody>
          <a:bodyPr vertOverflow="clip" vert="horz" wrap="square" lIns="27432" tIns="18288" rIns="0" bIns="0" anchor="t" anchorCtr="0" upright="1"/>
          <a:p>
            <a:pPr algn="l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X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19509" name="FreeForm 53"/>
          <xdr:cNvSpPr/>
        </xdr:nvSpPr>
        <xdr:spPr>
          <a:xfrm>
            <a:off x="492" y="98"/>
            <a:ext cx="225" cy="159"/>
          </a:xfrm>
          <a:custGeom>
            <a:avLst/>
            <a:gdLst/>
            <a:ahLst/>
            <a:cxnLst/>
            <a:pathLst>
              <a:path w="552" h="402">
                <a:moveTo>
                  <a:pt x="0" y="401"/>
                </a:moveTo>
                <a:cubicBezTo>
                  <a:pt x="15" y="398"/>
                  <a:pt x="31" y="395"/>
                  <a:pt x="46" y="380"/>
                </a:cubicBezTo>
                <a:cubicBezTo>
                  <a:pt x="61" y="365"/>
                  <a:pt x="61" y="369"/>
                  <a:pt x="92" y="313"/>
                </a:cubicBezTo>
                <a:cubicBezTo>
                  <a:pt x="123" y="257"/>
                  <a:pt x="192" y="90"/>
                  <a:pt x="230" y="45"/>
                </a:cubicBezTo>
                <a:cubicBezTo>
                  <a:pt x="268" y="0"/>
                  <a:pt x="284" y="0"/>
                  <a:pt x="322" y="45"/>
                </a:cubicBezTo>
                <a:cubicBezTo>
                  <a:pt x="360" y="90"/>
                  <a:pt x="429" y="257"/>
                  <a:pt x="460" y="313"/>
                </a:cubicBezTo>
                <a:cubicBezTo>
                  <a:pt x="491" y="369"/>
                  <a:pt x="491" y="364"/>
                  <a:pt x="506" y="379"/>
                </a:cubicBezTo>
                <a:cubicBezTo>
                  <a:pt x="521" y="394"/>
                  <a:pt x="540" y="398"/>
                  <a:pt x="552" y="402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  <xdr:sp>
        <xdr:nvSpPr>
          <xdr:cNvPr id="19510" name="FreeForm 54"/>
          <xdr:cNvSpPr/>
        </xdr:nvSpPr>
        <xdr:spPr>
          <a:xfrm>
            <a:off x="671" y="206"/>
            <a:ext cx="44" cy="51"/>
          </a:xfrm>
          <a:custGeom>
            <a:avLst/>
            <a:gdLst/>
            <a:ahLst/>
            <a:cxnLst/>
            <a:pathLst>
              <a:path w="44" h="51">
                <a:moveTo>
                  <a:pt x="44" y="51"/>
                </a:moveTo>
                <a:lnTo>
                  <a:pt x="35" y="47"/>
                </a:lnTo>
                <a:lnTo>
                  <a:pt x="25" y="40"/>
                </a:lnTo>
                <a:lnTo>
                  <a:pt x="18" y="32"/>
                </a:lnTo>
                <a:lnTo>
                  <a:pt x="11" y="21"/>
                </a:lnTo>
                <a:lnTo>
                  <a:pt x="6" y="12"/>
                </a:lnTo>
                <a:lnTo>
                  <a:pt x="0" y="0"/>
                </a:lnTo>
                <a:lnTo>
                  <a:pt x="0" y="50"/>
                </a:lnTo>
                <a:lnTo>
                  <a:pt x="44" y="51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>
              <a:alpha val="100000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</xdr:col>
      <xdr:colOff>17780</xdr:colOff>
      <xdr:row>4</xdr:row>
      <xdr:rowOff>0</xdr:rowOff>
    </xdr:from>
    <xdr:to>
      <xdr:col>4</xdr:col>
      <xdr:colOff>370205</xdr:colOff>
      <xdr:row>11</xdr:row>
      <xdr:rowOff>28575</xdr:rowOff>
    </xdr:to>
    <xdr:sp>
      <xdr:nvSpPr>
        <xdr:cNvPr id="19520" name="FreeForm 64"/>
        <xdr:cNvSpPr/>
      </xdr:nvSpPr>
      <xdr:spPr>
        <a:xfrm>
          <a:off x="668020" y="1000760"/>
          <a:ext cx="2303145" cy="1593215"/>
        </a:xfrm>
        <a:custGeom>
          <a:avLst/>
          <a:gdLst/>
          <a:ahLst/>
          <a:cxnLst/>
          <a:pathLst>
            <a:path w="920" h="414">
              <a:moveTo>
                <a:pt x="0" y="414"/>
              </a:moveTo>
              <a:cubicBezTo>
                <a:pt x="30" y="410"/>
                <a:pt x="61" y="407"/>
                <a:pt x="92" y="392"/>
              </a:cubicBezTo>
              <a:cubicBezTo>
                <a:pt x="123" y="377"/>
                <a:pt x="146" y="370"/>
                <a:pt x="184" y="326"/>
              </a:cubicBezTo>
              <a:cubicBezTo>
                <a:pt x="222" y="282"/>
                <a:pt x="284" y="179"/>
                <a:pt x="322" y="128"/>
              </a:cubicBezTo>
              <a:cubicBezTo>
                <a:pt x="360" y="77"/>
                <a:pt x="383" y="36"/>
                <a:pt x="414" y="18"/>
              </a:cubicBezTo>
              <a:cubicBezTo>
                <a:pt x="445" y="0"/>
                <a:pt x="475" y="0"/>
                <a:pt x="506" y="18"/>
              </a:cubicBezTo>
              <a:cubicBezTo>
                <a:pt x="537" y="36"/>
                <a:pt x="560" y="77"/>
                <a:pt x="598" y="128"/>
              </a:cubicBezTo>
              <a:cubicBezTo>
                <a:pt x="636" y="179"/>
                <a:pt x="698" y="282"/>
                <a:pt x="736" y="326"/>
              </a:cubicBezTo>
              <a:cubicBezTo>
                <a:pt x="774" y="370"/>
                <a:pt x="797" y="377"/>
                <a:pt x="828" y="392"/>
              </a:cubicBezTo>
              <a:cubicBezTo>
                <a:pt x="859" y="407"/>
                <a:pt x="889" y="410"/>
                <a:pt x="920" y="41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320040</xdr:colOff>
      <xdr:row>1</xdr:row>
      <xdr:rowOff>190500</xdr:rowOff>
    </xdr:from>
    <xdr:to>
      <xdr:col>2</xdr:col>
      <xdr:colOff>133350</xdr:colOff>
      <xdr:row>4</xdr:row>
      <xdr:rowOff>57150</xdr:rowOff>
    </xdr:to>
    <xdr:sp>
      <xdr:nvSpPr>
        <xdr:cNvPr id="27649" name="Rectangle 1"/>
        <xdr:cNvSpPr/>
      </xdr:nvSpPr>
      <xdr:spPr>
        <a:xfrm>
          <a:off x="320040" y="414020"/>
          <a:ext cx="1057910" cy="537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確定要制定控制圖的特性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0</xdr:col>
      <xdr:colOff>302260</xdr:colOff>
      <xdr:row>6</xdr:row>
      <xdr:rowOff>170815</xdr:rowOff>
    </xdr:from>
    <xdr:to>
      <xdr:col>2</xdr:col>
      <xdr:colOff>168910</xdr:colOff>
      <xdr:row>11</xdr:row>
      <xdr:rowOff>38735</xdr:rowOff>
    </xdr:to>
    <xdr:sp>
      <xdr:nvSpPr>
        <xdr:cNvPr id="27650" name="AutoShape 2"/>
        <xdr:cNvSpPr/>
      </xdr:nvSpPr>
      <xdr:spPr>
        <a:xfrm>
          <a:off x="302260" y="1511935"/>
          <a:ext cx="1111250" cy="98552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是計量型數據嗎？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2</xdr:col>
      <xdr:colOff>471170</xdr:colOff>
      <xdr:row>6</xdr:row>
      <xdr:rowOff>47625</xdr:rowOff>
    </xdr:from>
    <xdr:to>
      <xdr:col>5</xdr:col>
      <xdr:colOff>142240</xdr:colOff>
      <xdr:row>11</xdr:row>
      <xdr:rowOff>170815</xdr:rowOff>
    </xdr:to>
    <xdr:sp>
      <xdr:nvSpPr>
        <xdr:cNvPr id="27651" name="AutoShape 3"/>
        <xdr:cNvSpPr/>
      </xdr:nvSpPr>
      <xdr:spPr>
        <a:xfrm>
          <a:off x="1715770" y="1388745"/>
          <a:ext cx="1537970" cy="124079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關心的是不合格品-即壞零件百分比嗎？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2</xdr:col>
      <xdr:colOff>613410</xdr:colOff>
      <xdr:row>14</xdr:row>
      <xdr:rowOff>0</xdr:rowOff>
    </xdr:from>
    <xdr:to>
      <xdr:col>5</xdr:col>
      <xdr:colOff>8890</xdr:colOff>
      <xdr:row>18</xdr:row>
      <xdr:rowOff>19050</xdr:rowOff>
    </xdr:to>
    <xdr:sp>
      <xdr:nvSpPr>
        <xdr:cNvPr id="27652" name="AutoShape 4"/>
        <xdr:cNvSpPr/>
      </xdr:nvSpPr>
      <xdr:spPr>
        <a:xfrm>
          <a:off x="1858010" y="3129280"/>
          <a:ext cx="1262380" cy="91313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樣品容量是否恆定？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6</xdr:col>
      <xdr:colOff>551180</xdr:colOff>
      <xdr:row>6</xdr:row>
      <xdr:rowOff>47625</xdr:rowOff>
    </xdr:from>
    <xdr:to>
      <xdr:col>9</xdr:col>
      <xdr:colOff>391160</xdr:colOff>
      <xdr:row>11</xdr:row>
      <xdr:rowOff>170815</xdr:rowOff>
    </xdr:to>
    <xdr:sp>
      <xdr:nvSpPr>
        <xdr:cNvPr id="27653" name="AutoShape 5"/>
        <xdr:cNvSpPr/>
      </xdr:nvSpPr>
      <xdr:spPr>
        <a:xfrm>
          <a:off x="4284980" y="1388745"/>
          <a:ext cx="1706880" cy="124079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關心的是不合格數-即單位零件不合格數碼？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7</xdr:col>
      <xdr:colOff>151130</xdr:colOff>
      <xdr:row>14</xdr:row>
      <xdr:rowOff>0</xdr:rowOff>
    </xdr:from>
    <xdr:to>
      <xdr:col>9</xdr:col>
      <xdr:colOff>186690</xdr:colOff>
      <xdr:row>18</xdr:row>
      <xdr:rowOff>19050</xdr:rowOff>
    </xdr:to>
    <xdr:sp>
      <xdr:nvSpPr>
        <xdr:cNvPr id="27654" name="AutoShape 6"/>
        <xdr:cNvSpPr/>
      </xdr:nvSpPr>
      <xdr:spPr>
        <a:xfrm>
          <a:off x="4507230" y="3129280"/>
          <a:ext cx="1280160" cy="91313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樣品容量是否恆定？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5</xdr:col>
      <xdr:colOff>408940</xdr:colOff>
      <xdr:row>15</xdr:row>
      <xdr:rowOff>76200</xdr:rowOff>
    </xdr:from>
    <xdr:to>
      <xdr:col>6</xdr:col>
      <xdr:colOff>551180</xdr:colOff>
      <xdr:row>16</xdr:row>
      <xdr:rowOff>123825</xdr:rowOff>
    </xdr:to>
    <xdr:sp>
      <xdr:nvSpPr>
        <xdr:cNvPr id="27655" name="Rectangle 7"/>
        <xdr:cNvSpPr/>
      </xdr:nvSpPr>
      <xdr:spPr>
        <a:xfrm>
          <a:off x="3520440" y="3429000"/>
          <a:ext cx="764540" cy="2711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使用Ｐ圖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9</xdr:col>
      <xdr:colOff>506730</xdr:colOff>
      <xdr:row>15</xdr:row>
      <xdr:rowOff>95250</xdr:rowOff>
    </xdr:from>
    <xdr:to>
      <xdr:col>10</xdr:col>
      <xdr:colOff>551180</xdr:colOff>
      <xdr:row>16</xdr:row>
      <xdr:rowOff>143510</xdr:rowOff>
    </xdr:to>
    <xdr:sp>
      <xdr:nvSpPr>
        <xdr:cNvPr id="27656" name="Rectangle 8"/>
        <xdr:cNvSpPr/>
      </xdr:nvSpPr>
      <xdr:spPr>
        <a:xfrm>
          <a:off x="6107430" y="3448050"/>
          <a:ext cx="666750" cy="271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使用Ｕ圖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3</xdr:col>
      <xdr:colOff>97790</xdr:colOff>
      <xdr:row>20</xdr:row>
      <xdr:rowOff>200025</xdr:rowOff>
    </xdr:from>
    <xdr:to>
      <xdr:col>4</xdr:col>
      <xdr:colOff>524510</xdr:colOff>
      <xdr:row>22</xdr:row>
      <xdr:rowOff>38735</xdr:rowOff>
    </xdr:to>
    <xdr:sp>
      <xdr:nvSpPr>
        <xdr:cNvPr id="27657" name="Rectangle 9"/>
        <xdr:cNvSpPr/>
      </xdr:nvSpPr>
      <xdr:spPr>
        <a:xfrm>
          <a:off x="1964690" y="4670425"/>
          <a:ext cx="104902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使用nＰ或Ｐ圖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8</xdr:col>
      <xdr:colOff>133350</xdr:colOff>
      <xdr:row>23</xdr:row>
      <xdr:rowOff>76200</xdr:rowOff>
    </xdr:from>
    <xdr:to>
      <xdr:col>9</xdr:col>
      <xdr:colOff>560070</xdr:colOff>
      <xdr:row>24</xdr:row>
      <xdr:rowOff>123825</xdr:rowOff>
    </xdr:to>
    <xdr:sp>
      <xdr:nvSpPr>
        <xdr:cNvPr id="27658" name="Rectangle 10"/>
        <xdr:cNvSpPr/>
      </xdr:nvSpPr>
      <xdr:spPr>
        <a:xfrm>
          <a:off x="5111750" y="5217160"/>
          <a:ext cx="1049020" cy="2711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使用中位數圖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0</xdr:col>
      <xdr:colOff>35560</xdr:colOff>
      <xdr:row>19</xdr:row>
      <xdr:rowOff>170815</xdr:rowOff>
    </xdr:from>
    <xdr:to>
      <xdr:col>2</xdr:col>
      <xdr:colOff>453390</xdr:colOff>
      <xdr:row>28</xdr:row>
      <xdr:rowOff>47625</xdr:rowOff>
    </xdr:to>
    <xdr:sp>
      <xdr:nvSpPr>
        <xdr:cNvPr id="27659" name="AutoShape 11"/>
        <xdr:cNvSpPr/>
      </xdr:nvSpPr>
      <xdr:spPr>
        <a:xfrm>
          <a:off x="35560" y="4417695"/>
          <a:ext cx="1662430" cy="188849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性質上是否是均勻或不能按子組取樣-例如︰化學槽液，批量油漆等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4</xdr:col>
      <xdr:colOff>560070</xdr:colOff>
      <xdr:row>21</xdr:row>
      <xdr:rowOff>85725</xdr:rowOff>
    </xdr:from>
    <xdr:to>
      <xdr:col>7</xdr:col>
      <xdr:colOff>62230</xdr:colOff>
      <xdr:row>26</xdr:row>
      <xdr:rowOff>123825</xdr:rowOff>
    </xdr:to>
    <xdr:sp>
      <xdr:nvSpPr>
        <xdr:cNvPr id="27660" name="AutoShape 12"/>
        <xdr:cNvSpPr/>
      </xdr:nvSpPr>
      <xdr:spPr>
        <a:xfrm>
          <a:off x="3049270" y="4779645"/>
          <a:ext cx="1369060" cy="11557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子組均值是否能方便地計算？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0</xdr:col>
      <xdr:colOff>97790</xdr:colOff>
      <xdr:row>31</xdr:row>
      <xdr:rowOff>9525</xdr:rowOff>
    </xdr:from>
    <xdr:to>
      <xdr:col>2</xdr:col>
      <xdr:colOff>355600</xdr:colOff>
      <xdr:row>32</xdr:row>
      <xdr:rowOff>57150</xdr:rowOff>
    </xdr:to>
    <xdr:sp>
      <xdr:nvSpPr>
        <xdr:cNvPr id="27661" name="Rectangle 13"/>
        <xdr:cNvSpPr/>
      </xdr:nvSpPr>
      <xdr:spPr>
        <a:xfrm>
          <a:off x="97790" y="6938645"/>
          <a:ext cx="1502410" cy="2711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使用單值圖Ｘ--ＭＲ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5</xdr:col>
      <xdr:colOff>17780</xdr:colOff>
      <xdr:row>29</xdr:row>
      <xdr:rowOff>95250</xdr:rowOff>
    </xdr:from>
    <xdr:to>
      <xdr:col>6</xdr:col>
      <xdr:colOff>613410</xdr:colOff>
      <xdr:row>34</xdr:row>
      <xdr:rowOff>133350</xdr:rowOff>
    </xdr:to>
    <xdr:sp>
      <xdr:nvSpPr>
        <xdr:cNvPr id="27662" name="AutoShape 14"/>
        <xdr:cNvSpPr/>
      </xdr:nvSpPr>
      <xdr:spPr>
        <a:xfrm>
          <a:off x="3129280" y="6577330"/>
          <a:ext cx="1217930" cy="11557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子組容量大於或等於９嗎？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8</xdr:col>
      <xdr:colOff>133350</xdr:colOff>
      <xdr:row>30</xdr:row>
      <xdr:rowOff>170815</xdr:rowOff>
    </xdr:from>
    <xdr:to>
      <xdr:col>9</xdr:col>
      <xdr:colOff>560070</xdr:colOff>
      <xdr:row>33</xdr:row>
      <xdr:rowOff>38735</xdr:rowOff>
    </xdr:to>
    <xdr:grpSp>
      <xdr:nvGrpSpPr>
        <xdr:cNvPr id="27665" name="Group 17"/>
        <xdr:cNvGrpSpPr/>
      </xdr:nvGrpSpPr>
      <xdr:grpSpPr>
        <a:xfrm>
          <a:off x="5111750" y="6876415"/>
          <a:ext cx="1049020" cy="538480"/>
          <a:chOff x="575" y="722"/>
          <a:chExt cx="118" cy="52"/>
        </a:xfrm>
      </xdr:grpSpPr>
      <xdr:sp>
        <xdr:nvSpPr>
          <xdr:cNvPr id="27663" name="Rectangle 15"/>
          <xdr:cNvSpPr/>
        </xdr:nvSpPr>
        <xdr:spPr>
          <a:xfrm>
            <a:off x="575" y="722"/>
            <a:ext cx="118" cy="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1905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18288" rIns="27432" bIns="0" anchor="t" anchorCtr="0" upright="1"/>
          <a:p>
            <a:pPr algn="ctr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使用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  <a:p>
            <a:pPr algn="ctr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Ｘ--Ｒ圖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27664" name="Line 16"/>
          <xdr:cNvSpPr/>
        </xdr:nvSpPr>
        <xdr:spPr>
          <a:xfrm>
            <a:off x="605" y="748"/>
            <a:ext cx="13" cy="0"/>
          </a:xfrm>
          <a:prstGeom prst="line">
            <a:avLst/>
          </a:prstGeom>
          <a:ln w="1905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4</xdr:col>
      <xdr:colOff>506730</xdr:colOff>
      <xdr:row>37</xdr:row>
      <xdr:rowOff>57150</xdr:rowOff>
    </xdr:from>
    <xdr:to>
      <xdr:col>7</xdr:col>
      <xdr:colOff>133350</xdr:colOff>
      <xdr:row>42</xdr:row>
      <xdr:rowOff>152400</xdr:rowOff>
    </xdr:to>
    <xdr:sp>
      <xdr:nvSpPr>
        <xdr:cNvPr id="27666" name="AutoShape 18"/>
        <xdr:cNvSpPr/>
      </xdr:nvSpPr>
      <xdr:spPr>
        <a:xfrm>
          <a:off x="2995930" y="8327390"/>
          <a:ext cx="1493520" cy="121285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0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是否能方便地計算每個子組的Ｓ值？</a:t>
          </a:r>
          <a:endParaRPr lang="zh-CN" altLang="en-US" sz="10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8</xdr:col>
      <xdr:colOff>133350</xdr:colOff>
      <xdr:row>38</xdr:row>
      <xdr:rowOff>180975</xdr:rowOff>
    </xdr:from>
    <xdr:to>
      <xdr:col>9</xdr:col>
      <xdr:colOff>560070</xdr:colOff>
      <xdr:row>41</xdr:row>
      <xdr:rowOff>47625</xdr:rowOff>
    </xdr:to>
    <xdr:grpSp>
      <xdr:nvGrpSpPr>
        <xdr:cNvPr id="27667" name="Group 19"/>
        <xdr:cNvGrpSpPr/>
      </xdr:nvGrpSpPr>
      <xdr:grpSpPr>
        <a:xfrm>
          <a:off x="5111750" y="8674735"/>
          <a:ext cx="1049020" cy="537210"/>
          <a:chOff x="575" y="722"/>
          <a:chExt cx="118" cy="52"/>
        </a:xfrm>
      </xdr:grpSpPr>
      <xdr:sp>
        <xdr:nvSpPr>
          <xdr:cNvPr id="27668" name="Rectangle 20"/>
          <xdr:cNvSpPr/>
        </xdr:nvSpPr>
        <xdr:spPr>
          <a:xfrm>
            <a:off x="575" y="722"/>
            <a:ext cx="118" cy="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1905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18288" rIns="27432" bIns="0" anchor="t" anchorCtr="0" upright="1"/>
          <a:p>
            <a:pPr algn="ctr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使用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  <a:p>
            <a:pPr algn="ctr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Ｘ--Ｒ圖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27669" name="Line 21"/>
          <xdr:cNvSpPr/>
        </xdr:nvSpPr>
        <xdr:spPr>
          <a:xfrm>
            <a:off x="605" y="748"/>
            <a:ext cx="13" cy="0"/>
          </a:xfrm>
          <a:prstGeom prst="line">
            <a:avLst/>
          </a:prstGeom>
          <a:ln w="1905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5</xdr:col>
      <xdr:colOff>106680</xdr:colOff>
      <xdr:row>45</xdr:row>
      <xdr:rowOff>85725</xdr:rowOff>
    </xdr:from>
    <xdr:to>
      <xdr:col>6</xdr:col>
      <xdr:colOff>533400</xdr:colOff>
      <xdr:row>47</xdr:row>
      <xdr:rowOff>161925</xdr:rowOff>
    </xdr:to>
    <xdr:grpSp>
      <xdr:nvGrpSpPr>
        <xdr:cNvPr id="27670" name="Group 22"/>
        <xdr:cNvGrpSpPr/>
      </xdr:nvGrpSpPr>
      <xdr:grpSpPr>
        <a:xfrm>
          <a:off x="3218180" y="10144125"/>
          <a:ext cx="1049020" cy="523240"/>
          <a:chOff x="575" y="722"/>
          <a:chExt cx="118" cy="52"/>
        </a:xfrm>
      </xdr:grpSpPr>
      <xdr:sp>
        <xdr:nvSpPr>
          <xdr:cNvPr id="27671" name="Rectangle 23"/>
          <xdr:cNvSpPr/>
        </xdr:nvSpPr>
        <xdr:spPr>
          <a:xfrm>
            <a:off x="575" y="722"/>
            <a:ext cx="118" cy="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>
              <a:alpha val="100000"/>
            </a:srgbClr>
          </a:solidFill>
          <a:ln w="1905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18288" rIns="27432" bIns="0" anchor="t" anchorCtr="0" upright="1"/>
          <a:p>
            <a:pPr algn="ctr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使用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  <a:p>
            <a:pPr algn="ctr" rtl="0"/>
            <a:r>
              <a:rPr lang="zh-CN" altLang="en-US" sz="1200">
                <a:solidFill>
                  <a:srgbClr val="000000"/>
                </a:solidFill>
                <a:latin typeface="PMingLiU" charset="-120"/>
                <a:ea typeface="PMingLiU" charset="-120"/>
                <a:cs typeface="PMingLiU" charset="-120"/>
                <a:sym typeface="PMingLiU" charset="-120"/>
              </a:rPr>
              <a:t>Ｘ--Ｓ圖</a:t>
            </a:r>
            <a:endPara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endParaRPr>
          </a:p>
        </xdr:txBody>
      </xdr:sp>
      <xdr:sp>
        <xdr:nvSpPr>
          <xdr:cNvPr id="27672" name="Line 24"/>
          <xdr:cNvSpPr/>
        </xdr:nvSpPr>
        <xdr:spPr>
          <a:xfrm>
            <a:off x="605" y="748"/>
            <a:ext cx="13" cy="0"/>
          </a:xfrm>
          <a:prstGeom prst="line">
            <a:avLst/>
          </a:prstGeom>
          <a:ln w="1905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</xdr:col>
      <xdr:colOff>240030</xdr:colOff>
      <xdr:row>4</xdr:row>
      <xdr:rowOff>57150</xdr:rowOff>
    </xdr:from>
    <xdr:to>
      <xdr:col>1</xdr:col>
      <xdr:colOff>240030</xdr:colOff>
      <xdr:row>6</xdr:row>
      <xdr:rowOff>190500</xdr:rowOff>
    </xdr:to>
    <xdr:sp>
      <xdr:nvSpPr>
        <xdr:cNvPr id="27673" name="Line 25"/>
        <xdr:cNvSpPr/>
      </xdr:nvSpPr>
      <xdr:spPr>
        <a:xfrm flipV="1">
          <a:off x="862330" y="951230"/>
          <a:ext cx="0" cy="58039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151130</xdr:colOff>
      <xdr:row>9</xdr:row>
      <xdr:rowOff>0</xdr:rowOff>
    </xdr:from>
    <xdr:to>
      <xdr:col>2</xdr:col>
      <xdr:colOff>488950</xdr:colOff>
      <xdr:row>9</xdr:row>
      <xdr:rowOff>0</xdr:rowOff>
    </xdr:to>
    <xdr:sp>
      <xdr:nvSpPr>
        <xdr:cNvPr id="27674" name="Line 26"/>
        <xdr:cNvSpPr/>
      </xdr:nvSpPr>
      <xdr:spPr>
        <a:xfrm>
          <a:off x="1395730" y="2011680"/>
          <a:ext cx="33782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142240</xdr:colOff>
      <xdr:row>9</xdr:row>
      <xdr:rowOff>0</xdr:rowOff>
    </xdr:from>
    <xdr:to>
      <xdr:col>6</xdr:col>
      <xdr:colOff>560070</xdr:colOff>
      <xdr:row>9</xdr:row>
      <xdr:rowOff>0</xdr:rowOff>
    </xdr:to>
    <xdr:sp>
      <xdr:nvSpPr>
        <xdr:cNvPr id="27675" name="Line 27"/>
        <xdr:cNvSpPr/>
      </xdr:nvSpPr>
      <xdr:spPr>
        <a:xfrm flipV="1">
          <a:off x="3253740" y="2011680"/>
          <a:ext cx="104013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5</xdr:col>
      <xdr:colOff>408940</xdr:colOff>
      <xdr:row>16</xdr:row>
      <xdr:rowOff>9525</xdr:rowOff>
    </xdr:to>
    <xdr:sp>
      <xdr:nvSpPr>
        <xdr:cNvPr id="27676" name="Line 28"/>
        <xdr:cNvSpPr/>
      </xdr:nvSpPr>
      <xdr:spPr>
        <a:xfrm>
          <a:off x="3111500" y="3585845"/>
          <a:ext cx="40894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186690</xdr:colOff>
      <xdr:row>16</xdr:row>
      <xdr:rowOff>9525</xdr:rowOff>
    </xdr:from>
    <xdr:to>
      <xdr:col>9</xdr:col>
      <xdr:colOff>506730</xdr:colOff>
      <xdr:row>16</xdr:row>
      <xdr:rowOff>9525</xdr:rowOff>
    </xdr:to>
    <xdr:sp>
      <xdr:nvSpPr>
        <xdr:cNvPr id="27677" name="Line 29"/>
        <xdr:cNvSpPr/>
      </xdr:nvSpPr>
      <xdr:spPr>
        <a:xfrm flipV="1">
          <a:off x="5787390" y="3585845"/>
          <a:ext cx="32004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11</xdr:row>
      <xdr:rowOff>143510</xdr:rowOff>
    </xdr:from>
    <xdr:to>
      <xdr:col>4</xdr:col>
      <xdr:colOff>0</xdr:colOff>
      <xdr:row>14</xdr:row>
      <xdr:rowOff>0</xdr:rowOff>
    </xdr:to>
    <xdr:sp>
      <xdr:nvSpPr>
        <xdr:cNvPr id="27678" name="Line 30"/>
        <xdr:cNvSpPr/>
      </xdr:nvSpPr>
      <xdr:spPr>
        <a:xfrm flipV="1">
          <a:off x="2489200" y="2602230"/>
          <a:ext cx="0" cy="52705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160020</xdr:colOff>
      <xdr:row>11</xdr:row>
      <xdr:rowOff>152400</xdr:rowOff>
    </xdr:from>
    <xdr:to>
      <xdr:col>8</xdr:col>
      <xdr:colOff>160020</xdr:colOff>
      <xdr:row>14</xdr:row>
      <xdr:rowOff>9525</xdr:rowOff>
    </xdr:to>
    <xdr:sp>
      <xdr:nvSpPr>
        <xdr:cNvPr id="27679" name="Line 31"/>
        <xdr:cNvSpPr/>
      </xdr:nvSpPr>
      <xdr:spPr>
        <a:xfrm flipV="1">
          <a:off x="5138420" y="2611120"/>
          <a:ext cx="0" cy="527685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240030</xdr:colOff>
      <xdr:row>11</xdr:row>
      <xdr:rowOff>19050</xdr:rowOff>
    </xdr:from>
    <xdr:to>
      <xdr:col>1</xdr:col>
      <xdr:colOff>240030</xdr:colOff>
      <xdr:row>19</xdr:row>
      <xdr:rowOff>170815</xdr:rowOff>
    </xdr:to>
    <xdr:sp>
      <xdr:nvSpPr>
        <xdr:cNvPr id="27680" name="Line 32"/>
        <xdr:cNvSpPr/>
      </xdr:nvSpPr>
      <xdr:spPr>
        <a:xfrm flipV="1">
          <a:off x="862330" y="2477770"/>
          <a:ext cx="0" cy="1939925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453390</xdr:colOff>
      <xdr:row>24</xdr:row>
      <xdr:rowOff>0</xdr:rowOff>
    </xdr:from>
    <xdr:to>
      <xdr:col>4</xdr:col>
      <xdr:colOff>560070</xdr:colOff>
      <xdr:row>24</xdr:row>
      <xdr:rowOff>0</xdr:rowOff>
    </xdr:to>
    <xdr:sp>
      <xdr:nvSpPr>
        <xdr:cNvPr id="27681" name="Line 33"/>
        <xdr:cNvSpPr/>
      </xdr:nvSpPr>
      <xdr:spPr>
        <a:xfrm>
          <a:off x="1697990" y="5364480"/>
          <a:ext cx="135128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62230</xdr:colOff>
      <xdr:row>24</xdr:row>
      <xdr:rowOff>0</xdr:rowOff>
    </xdr:from>
    <xdr:to>
      <xdr:col>8</xdr:col>
      <xdr:colOff>133350</xdr:colOff>
      <xdr:row>24</xdr:row>
      <xdr:rowOff>0</xdr:rowOff>
    </xdr:to>
    <xdr:sp>
      <xdr:nvSpPr>
        <xdr:cNvPr id="27682" name="Line 34"/>
        <xdr:cNvSpPr/>
      </xdr:nvSpPr>
      <xdr:spPr>
        <a:xfrm>
          <a:off x="4418330" y="5364480"/>
          <a:ext cx="69342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8890</xdr:colOff>
      <xdr:row>26</xdr:row>
      <xdr:rowOff>114300</xdr:rowOff>
    </xdr:from>
    <xdr:to>
      <xdr:col>6</xdr:col>
      <xdr:colOff>8890</xdr:colOff>
      <xdr:row>29</xdr:row>
      <xdr:rowOff>95250</xdr:rowOff>
    </xdr:to>
    <xdr:sp>
      <xdr:nvSpPr>
        <xdr:cNvPr id="27683" name="Line 35"/>
        <xdr:cNvSpPr/>
      </xdr:nvSpPr>
      <xdr:spPr>
        <a:xfrm flipV="1">
          <a:off x="3742690" y="5925820"/>
          <a:ext cx="0" cy="65151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0</xdr:colOff>
      <xdr:row>34</xdr:row>
      <xdr:rowOff>114300</xdr:rowOff>
    </xdr:from>
    <xdr:to>
      <xdr:col>6</xdr:col>
      <xdr:colOff>0</xdr:colOff>
      <xdr:row>37</xdr:row>
      <xdr:rowOff>76200</xdr:rowOff>
    </xdr:to>
    <xdr:sp>
      <xdr:nvSpPr>
        <xdr:cNvPr id="27684" name="Line 36"/>
        <xdr:cNvSpPr/>
      </xdr:nvSpPr>
      <xdr:spPr>
        <a:xfrm flipV="1">
          <a:off x="3733800" y="7713980"/>
          <a:ext cx="0" cy="63246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240030</xdr:colOff>
      <xdr:row>28</xdr:row>
      <xdr:rowOff>28575</xdr:rowOff>
    </xdr:from>
    <xdr:to>
      <xdr:col>1</xdr:col>
      <xdr:colOff>240030</xdr:colOff>
      <xdr:row>31</xdr:row>
      <xdr:rowOff>9525</xdr:rowOff>
    </xdr:to>
    <xdr:sp>
      <xdr:nvSpPr>
        <xdr:cNvPr id="27685" name="Line 37"/>
        <xdr:cNvSpPr/>
      </xdr:nvSpPr>
      <xdr:spPr>
        <a:xfrm flipV="1">
          <a:off x="862330" y="6287135"/>
          <a:ext cx="0" cy="65151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613410</xdr:colOff>
      <xdr:row>32</xdr:row>
      <xdr:rowOff>0</xdr:rowOff>
    </xdr:from>
    <xdr:to>
      <xdr:col>8</xdr:col>
      <xdr:colOff>142240</xdr:colOff>
      <xdr:row>32</xdr:row>
      <xdr:rowOff>0</xdr:rowOff>
    </xdr:to>
    <xdr:sp>
      <xdr:nvSpPr>
        <xdr:cNvPr id="27686" name="Line 38"/>
        <xdr:cNvSpPr/>
      </xdr:nvSpPr>
      <xdr:spPr>
        <a:xfrm flipV="1">
          <a:off x="4347210" y="7152640"/>
          <a:ext cx="77343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124460</xdr:colOff>
      <xdr:row>40</xdr:row>
      <xdr:rowOff>0</xdr:rowOff>
    </xdr:from>
    <xdr:to>
      <xdr:col>8</xdr:col>
      <xdr:colOff>133350</xdr:colOff>
      <xdr:row>40</xdr:row>
      <xdr:rowOff>0</xdr:rowOff>
    </xdr:to>
    <xdr:sp>
      <xdr:nvSpPr>
        <xdr:cNvPr id="27687" name="Line 39"/>
        <xdr:cNvSpPr/>
      </xdr:nvSpPr>
      <xdr:spPr>
        <a:xfrm>
          <a:off x="4480560" y="8940800"/>
          <a:ext cx="631190" cy="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8890</xdr:colOff>
      <xdr:row>42</xdr:row>
      <xdr:rowOff>123825</xdr:rowOff>
    </xdr:from>
    <xdr:to>
      <xdr:col>6</xdr:col>
      <xdr:colOff>8890</xdr:colOff>
      <xdr:row>45</xdr:row>
      <xdr:rowOff>85725</xdr:rowOff>
    </xdr:to>
    <xdr:sp>
      <xdr:nvSpPr>
        <xdr:cNvPr id="27688" name="Line 40"/>
        <xdr:cNvSpPr/>
      </xdr:nvSpPr>
      <xdr:spPr>
        <a:xfrm flipV="1">
          <a:off x="3742690" y="9511665"/>
          <a:ext cx="0" cy="632460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266700</xdr:colOff>
      <xdr:row>20</xdr:row>
      <xdr:rowOff>200025</xdr:rowOff>
    </xdr:from>
    <xdr:to>
      <xdr:col>9</xdr:col>
      <xdr:colOff>71120</xdr:colOff>
      <xdr:row>22</xdr:row>
      <xdr:rowOff>38735</xdr:rowOff>
    </xdr:to>
    <xdr:sp>
      <xdr:nvSpPr>
        <xdr:cNvPr id="27689" name="Rectangle 41"/>
        <xdr:cNvSpPr/>
      </xdr:nvSpPr>
      <xdr:spPr>
        <a:xfrm>
          <a:off x="4622800" y="4670425"/>
          <a:ext cx="104902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100000"/>
          </a:srgbClr>
        </a:solidFill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0" anchor="t" anchorCtr="0" upright="1"/>
        <a:p>
          <a:pPr algn="ctr" rtl="0"/>
          <a:r>
            <a:rPr lang="zh-CN" altLang="en-US" sz="1200">
              <a:solidFill>
                <a:srgbClr val="000000"/>
              </a:solidFill>
              <a:latin typeface="PMingLiU" charset="-120"/>
              <a:ea typeface="PMingLiU" charset="-120"/>
              <a:cs typeface="PMingLiU" charset="-120"/>
              <a:sym typeface="PMingLiU" charset="-120"/>
            </a:rPr>
            <a:t>使用Ｃ或Ｕ圖</a:t>
          </a:r>
          <a:endParaRPr lang="zh-CN" altLang="en-US" sz="1200">
            <a:solidFill>
              <a:srgbClr val="000000"/>
            </a:solidFill>
            <a:latin typeface="PMingLiU" charset="-120"/>
            <a:ea typeface="PMingLiU" charset="-120"/>
            <a:cs typeface="PMingLiU" charset="-120"/>
            <a:sym typeface="PMingLiU" charset="-120"/>
          </a:endParaRPr>
        </a:p>
      </xdr:txBody>
    </xdr:sp>
    <xdr:clientData/>
  </xdr:twoCellAnchor>
  <xdr:twoCellAnchor>
    <xdr:from>
      <xdr:col>4</xdr:col>
      <xdr:colOff>0</xdr:colOff>
      <xdr:row>18</xdr:row>
      <xdr:rowOff>19050</xdr:rowOff>
    </xdr:from>
    <xdr:to>
      <xdr:col>4</xdr:col>
      <xdr:colOff>0</xdr:colOff>
      <xdr:row>20</xdr:row>
      <xdr:rowOff>200025</xdr:rowOff>
    </xdr:to>
    <xdr:sp>
      <xdr:nvSpPr>
        <xdr:cNvPr id="27690" name="Line 42"/>
        <xdr:cNvSpPr/>
      </xdr:nvSpPr>
      <xdr:spPr>
        <a:xfrm flipV="1">
          <a:off x="2489200" y="4042410"/>
          <a:ext cx="0" cy="628015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168910</xdr:colOff>
      <xdr:row>18</xdr:row>
      <xdr:rowOff>9525</xdr:rowOff>
    </xdr:from>
    <xdr:to>
      <xdr:col>8</xdr:col>
      <xdr:colOff>168910</xdr:colOff>
      <xdr:row>20</xdr:row>
      <xdr:rowOff>190500</xdr:rowOff>
    </xdr:to>
    <xdr:sp>
      <xdr:nvSpPr>
        <xdr:cNvPr id="27691" name="Line 43"/>
        <xdr:cNvSpPr/>
      </xdr:nvSpPr>
      <xdr:spPr>
        <a:xfrm flipV="1">
          <a:off x="5147310" y="4032885"/>
          <a:ext cx="0" cy="628015"/>
        </a:xfrm>
        <a:prstGeom prst="line">
          <a:avLst/>
        </a:prstGeom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88"/>
  <sheetViews>
    <sheetView showGridLines="0" tabSelected="1" zoomScaleSheetLayoutView="60" workbookViewId="0">
      <selection activeCell="AC11" sqref="AC11:AE11"/>
    </sheetView>
  </sheetViews>
  <sheetFormatPr defaultColWidth="9.14285714285714" defaultRowHeight="17.6"/>
  <cols>
    <col min="1" max="2" width="4.75" style="197" customWidth="1"/>
    <col min="3" max="3" width="5.25" style="197" customWidth="1"/>
    <col min="4" max="28" width="4.5" style="197" customWidth="1"/>
    <col min="29" max="30" width="4.375" style="197" customWidth="1"/>
    <col min="31" max="16384" width="4.5" style="197" customWidth="1"/>
  </cols>
  <sheetData>
    <row r="1" s="195" customFormat="1" ht="29.25" customHeight="1" spans="1:19">
      <c r="A1" s="198"/>
      <c r="B1" s="199"/>
      <c r="C1" s="200"/>
      <c r="D1" s="200"/>
      <c r="E1" s="200"/>
      <c r="F1" s="200"/>
      <c r="G1" s="200"/>
      <c r="H1" s="200"/>
      <c r="I1" s="285"/>
      <c r="M1" s="293" t="s">
        <v>0</v>
      </c>
      <c r="N1" s="293" t="s">
        <v>1</v>
      </c>
      <c r="O1" s="294" t="s">
        <v>2</v>
      </c>
      <c r="P1" s="295" t="s">
        <v>3</v>
      </c>
      <c r="Q1" s="303" t="s">
        <v>4</v>
      </c>
      <c r="R1" s="304"/>
      <c r="S1" s="305"/>
    </row>
    <row r="2" s="195" customFormat="1" ht="17.25" customHeight="1" spans="1:31">
      <c r="A2" s="200"/>
      <c r="B2" s="201"/>
      <c r="C2" s="202"/>
      <c r="D2" s="203"/>
      <c r="E2" s="203"/>
      <c r="F2" s="203"/>
      <c r="G2" s="273"/>
      <c r="H2" s="273"/>
      <c r="I2" s="286"/>
      <c r="P2" s="296"/>
      <c r="Q2" s="296"/>
      <c r="R2" s="306"/>
      <c r="S2" s="306"/>
      <c r="T2" s="306"/>
      <c r="Y2" s="323" t="s">
        <v>5</v>
      </c>
      <c r="AA2" s="324"/>
      <c r="AB2" s="325"/>
      <c r="AC2" s="325"/>
      <c r="AD2" s="325"/>
      <c r="AE2" s="325"/>
    </row>
    <row r="3" ht="19.5" customHeight="1" spans="1:33">
      <c r="A3" s="204" t="s">
        <v>6</v>
      </c>
      <c r="B3" s="205"/>
      <c r="C3" s="206" t="s">
        <v>7</v>
      </c>
      <c r="D3" s="207"/>
      <c r="E3" s="207"/>
      <c r="F3" s="207"/>
      <c r="G3" s="274"/>
      <c r="H3" s="275"/>
      <c r="I3" s="287" t="s">
        <v>8</v>
      </c>
      <c r="J3" s="288"/>
      <c r="K3" s="287" t="s">
        <v>9</v>
      </c>
      <c r="L3" s="288"/>
      <c r="M3" s="297" t="s">
        <v>10</v>
      </c>
      <c r="N3" s="298"/>
      <c r="O3" s="287" t="s">
        <v>11</v>
      </c>
      <c r="P3" s="288"/>
      <c r="Q3" s="287" t="s">
        <v>12</v>
      </c>
      <c r="R3" s="307"/>
      <c r="S3" s="287" t="s">
        <v>2</v>
      </c>
      <c r="T3" s="308" t="s">
        <v>13</v>
      </c>
      <c r="U3" s="312" t="s">
        <v>14</v>
      </c>
      <c r="V3" s="313"/>
      <c r="W3" s="314" t="s">
        <v>15</v>
      </c>
      <c r="X3" s="315"/>
      <c r="Y3" s="315"/>
      <c r="Z3" s="326"/>
      <c r="AA3" s="327" t="s">
        <v>16</v>
      </c>
      <c r="AB3" s="328"/>
      <c r="AC3" s="343"/>
      <c r="AD3" s="343"/>
      <c r="AE3" s="344"/>
      <c r="AF3" s="345"/>
      <c r="AG3" s="357"/>
    </row>
    <row r="4" ht="18.75" customHeight="1" spans="1:33">
      <c r="A4" s="208"/>
      <c r="B4" s="209"/>
      <c r="C4" s="210"/>
      <c r="D4" s="211"/>
      <c r="E4" s="211"/>
      <c r="F4" s="211"/>
      <c r="G4" s="276"/>
      <c r="H4" s="277"/>
      <c r="I4" s="289" t="s">
        <v>17</v>
      </c>
      <c r="J4" s="290"/>
      <c r="K4" s="291">
        <v>0.3</v>
      </c>
      <c r="L4" s="292"/>
      <c r="M4" s="299">
        <f>IF(B9="","",COUNT(B9:B14))</f>
        <v>5</v>
      </c>
      <c r="N4" s="300"/>
      <c r="O4" s="289" t="s">
        <v>18</v>
      </c>
      <c r="P4" s="290"/>
      <c r="Q4" s="309">
        <f>IF(AD16="","",AD16+L40*AD17)</f>
        <v>0.231709333333333</v>
      </c>
      <c r="R4" s="300"/>
      <c r="S4" s="310">
        <f>IF(AD17="","",L39*AD17)</f>
        <v>0.120692</v>
      </c>
      <c r="T4" s="310"/>
      <c r="U4" s="316"/>
      <c r="V4" s="317"/>
      <c r="W4" s="318"/>
      <c r="X4" s="319"/>
      <c r="Y4" s="319"/>
      <c r="Z4" s="329"/>
      <c r="AA4" s="330"/>
      <c r="AB4" s="331"/>
      <c r="AC4" s="346"/>
      <c r="AD4" s="346"/>
      <c r="AE4" s="347"/>
      <c r="AF4" s="345"/>
      <c r="AG4" s="357"/>
    </row>
    <row r="5" ht="21" customHeight="1" spans="1:33">
      <c r="A5" s="212" t="s">
        <v>19</v>
      </c>
      <c r="B5" s="213"/>
      <c r="C5" s="214" t="s">
        <v>20</v>
      </c>
      <c r="D5" s="215"/>
      <c r="E5" s="215"/>
      <c r="F5" s="215"/>
      <c r="G5" s="215"/>
      <c r="H5" s="278"/>
      <c r="I5" s="289" t="s">
        <v>21</v>
      </c>
      <c r="J5" s="290"/>
      <c r="K5" s="291">
        <v>0</v>
      </c>
      <c r="L5" s="292"/>
      <c r="M5" s="301" t="s">
        <v>22</v>
      </c>
      <c r="N5" s="302"/>
      <c r="O5" s="289" t="s">
        <v>21</v>
      </c>
      <c r="P5" s="290"/>
      <c r="Q5" s="309">
        <f>IF(AD16="","",AD16)</f>
        <v>0.198533333333333</v>
      </c>
      <c r="R5" s="300"/>
      <c r="S5" s="311">
        <f>IF(AD17="","",AD17)</f>
        <v>0.0572</v>
      </c>
      <c r="T5" s="311"/>
      <c r="U5" s="320" t="s">
        <v>23</v>
      </c>
      <c r="V5" s="321" t="s">
        <v>3</v>
      </c>
      <c r="W5" s="214"/>
      <c r="X5" s="322"/>
      <c r="Y5" s="322"/>
      <c r="Z5" s="332"/>
      <c r="AA5" s="333" t="s">
        <v>24</v>
      </c>
      <c r="AB5" s="334"/>
      <c r="AC5" s="214" t="s">
        <v>25</v>
      </c>
      <c r="AD5" s="215"/>
      <c r="AE5" s="348"/>
      <c r="AF5" s="345"/>
      <c r="AG5" s="357"/>
    </row>
    <row r="6" ht="21" customHeight="1" spans="1:33">
      <c r="A6" s="216" t="s">
        <v>26</v>
      </c>
      <c r="B6" s="217"/>
      <c r="C6" s="214" t="s">
        <v>27</v>
      </c>
      <c r="D6" s="215"/>
      <c r="E6" s="215"/>
      <c r="F6" s="215"/>
      <c r="G6" s="215"/>
      <c r="H6" s="278"/>
      <c r="I6" s="289" t="s">
        <v>28</v>
      </c>
      <c r="J6" s="290"/>
      <c r="K6" s="291">
        <v>0</v>
      </c>
      <c r="L6" s="292"/>
      <c r="M6" s="301">
        <f>IF(AD14="","",IF(AD14=0,0,AD14/M4))</f>
        <v>25</v>
      </c>
      <c r="N6" s="302"/>
      <c r="O6" s="289" t="s">
        <v>29</v>
      </c>
      <c r="P6" s="290"/>
      <c r="Q6" s="309">
        <f>IF(AD16="","",AD16-L40*AD17)</f>
        <v>0.165357333333333</v>
      </c>
      <c r="R6" s="300"/>
      <c r="S6" s="311">
        <f>IF(AD17="","",AD17*L38)</f>
        <v>0</v>
      </c>
      <c r="T6" s="311"/>
      <c r="U6" s="320" t="s">
        <v>30</v>
      </c>
      <c r="V6" s="321" t="s">
        <v>3</v>
      </c>
      <c r="W6" s="214"/>
      <c r="X6" s="322"/>
      <c r="Y6" s="322"/>
      <c r="Z6" s="332"/>
      <c r="AA6" s="335" t="s">
        <v>31</v>
      </c>
      <c r="AB6" s="336"/>
      <c r="AC6" s="349" t="s">
        <v>32</v>
      </c>
      <c r="AD6" s="350"/>
      <c r="AE6" s="351"/>
      <c r="AF6" s="345"/>
      <c r="AG6" s="357"/>
    </row>
    <row r="7" ht="15.75" customHeight="1" spans="1:33">
      <c r="A7" s="218" t="s">
        <v>33</v>
      </c>
      <c r="B7" s="219" t="s">
        <v>16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3"/>
      <c r="AC7" s="352" t="s">
        <v>34</v>
      </c>
      <c r="AD7" s="353"/>
      <c r="AE7" s="354"/>
      <c r="AF7" s="345"/>
      <c r="AG7" s="357"/>
    </row>
    <row r="8" ht="15.75" customHeight="1" spans="1:33">
      <c r="A8" s="221" t="s">
        <v>35</v>
      </c>
      <c r="B8" s="222" t="s">
        <v>36</v>
      </c>
      <c r="C8" s="223">
        <v>1</v>
      </c>
      <c r="D8" s="223">
        <v>2</v>
      </c>
      <c r="E8" s="223">
        <v>3</v>
      </c>
      <c r="F8" s="223">
        <v>4</v>
      </c>
      <c r="G8" s="223">
        <v>5</v>
      </c>
      <c r="H8" s="223">
        <v>6</v>
      </c>
      <c r="I8" s="223">
        <v>7</v>
      </c>
      <c r="J8" s="223">
        <v>8</v>
      </c>
      <c r="K8" s="223">
        <v>9</v>
      </c>
      <c r="L8" s="223">
        <v>10</v>
      </c>
      <c r="M8" s="223">
        <v>11</v>
      </c>
      <c r="N8" s="223">
        <v>12</v>
      </c>
      <c r="O8" s="223">
        <v>13</v>
      </c>
      <c r="P8" s="223">
        <v>14</v>
      </c>
      <c r="Q8" s="223">
        <v>15</v>
      </c>
      <c r="R8" s="223">
        <v>16</v>
      </c>
      <c r="S8" s="223">
        <v>17</v>
      </c>
      <c r="T8" s="223">
        <v>18</v>
      </c>
      <c r="U8" s="223">
        <v>19</v>
      </c>
      <c r="V8" s="223">
        <v>20</v>
      </c>
      <c r="W8" s="223">
        <v>21</v>
      </c>
      <c r="X8" s="223">
        <v>22</v>
      </c>
      <c r="Y8" s="223">
        <v>23</v>
      </c>
      <c r="Z8" s="223">
        <v>24</v>
      </c>
      <c r="AA8" s="337">
        <v>25</v>
      </c>
      <c r="AB8" s="338"/>
      <c r="AC8" s="355" t="s">
        <v>37</v>
      </c>
      <c r="AD8" s="355"/>
      <c r="AE8" s="356">
        <f>IF(C9="","",SUM(C9:AB14))</f>
        <v>24.95</v>
      </c>
      <c r="AF8" s="357"/>
      <c r="AG8" s="357"/>
    </row>
    <row r="9" ht="15.75" customHeight="1" spans="1:32">
      <c r="A9" s="224" t="s">
        <v>38</v>
      </c>
      <c r="B9" s="225">
        <f>IF(C9="","",IF(C9&lt;&gt;0,1))</f>
        <v>1</v>
      </c>
      <c r="C9" s="226">
        <v>0.25</v>
      </c>
      <c r="D9" s="226">
        <v>0.19</v>
      </c>
      <c r="E9" s="226">
        <v>0.2</v>
      </c>
      <c r="F9" s="226">
        <v>0.22</v>
      </c>
      <c r="G9" s="226">
        <v>0.19</v>
      </c>
      <c r="H9" s="226">
        <v>0.2</v>
      </c>
      <c r="I9" s="226">
        <v>0.18</v>
      </c>
      <c r="J9" s="226">
        <v>0.16</v>
      </c>
      <c r="K9" s="226">
        <v>0.2</v>
      </c>
      <c r="L9" s="226">
        <v>0.16</v>
      </c>
      <c r="M9" s="226">
        <v>0.24</v>
      </c>
      <c r="N9" s="226">
        <v>0.2</v>
      </c>
      <c r="O9" s="226">
        <v>0.18</v>
      </c>
      <c r="P9" s="226">
        <v>0.24</v>
      </c>
      <c r="Q9" s="226">
        <v>0.23</v>
      </c>
      <c r="R9" s="226">
        <v>0.19</v>
      </c>
      <c r="S9" s="226">
        <v>0.19</v>
      </c>
      <c r="T9" s="226">
        <v>0.19</v>
      </c>
      <c r="U9" s="226">
        <v>0.18</v>
      </c>
      <c r="V9" s="226">
        <v>0.19</v>
      </c>
      <c r="W9" s="226">
        <v>0.2</v>
      </c>
      <c r="X9" s="226">
        <v>0.25</v>
      </c>
      <c r="Y9" s="226">
        <v>0.18</v>
      </c>
      <c r="Z9" s="226">
        <v>0.2</v>
      </c>
      <c r="AA9" s="226">
        <v>0.19</v>
      </c>
      <c r="AB9" s="339"/>
      <c r="AC9" s="355" t="s">
        <v>39</v>
      </c>
      <c r="AD9" s="239"/>
      <c r="AE9" s="358">
        <f>IF(D17="","",SUM(C17:AB17))</f>
        <v>1.43</v>
      </c>
      <c r="AF9" s="357"/>
    </row>
    <row r="10" ht="15.75" customHeight="1" spans="1:32">
      <c r="A10" s="224" t="s">
        <v>40</v>
      </c>
      <c r="B10" s="225">
        <f>IF(C10="","",IF(C10&lt;&gt;0,2))</f>
        <v>2</v>
      </c>
      <c r="C10" s="226">
        <v>0.18</v>
      </c>
      <c r="D10" s="226">
        <v>0.13</v>
      </c>
      <c r="E10" s="226">
        <v>0.22</v>
      </c>
      <c r="F10" s="226">
        <v>0.18</v>
      </c>
      <c r="G10" s="226">
        <v>0.17</v>
      </c>
      <c r="H10" s="226">
        <v>0.16</v>
      </c>
      <c r="I10" s="226">
        <v>0.18</v>
      </c>
      <c r="J10" s="226">
        <v>0.2</v>
      </c>
      <c r="K10" s="226">
        <v>0.22</v>
      </c>
      <c r="L10" s="226">
        <v>0.15</v>
      </c>
      <c r="M10" s="226">
        <v>0.18</v>
      </c>
      <c r="N10" s="226">
        <v>0.24</v>
      </c>
      <c r="O10" s="226">
        <v>0.17</v>
      </c>
      <c r="P10" s="226">
        <v>0.25</v>
      </c>
      <c r="Q10" s="226">
        <v>0.25</v>
      </c>
      <c r="R10" s="226">
        <v>0.15</v>
      </c>
      <c r="S10" s="226">
        <v>0.25</v>
      </c>
      <c r="T10" s="226">
        <v>0.2</v>
      </c>
      <c r="U10" s="226">
        <v>0.19</v>
      </c>
      <c r="V10" s="226">
        <v>0.19</v>
      </c>
      <c r="W10" s="226">
        <v>0.2</v>
      </c>
      <c r="X10" s="226">
        <v>0.22</v>
      </c>
      <c r="Y10" s="226">
        <v>0.15</v>
      </c>
      <c r="Z10" s="226">
        <v>0.2</v>
      </c>
      <c r="AA10" s="226">
        <v>0.24</v>
      </c>
      <c r="AB10" s="339"/>
      <c r="AC10" s="239"/>
      <c r="AD10" s="239"/>
      <c r="AE10" s="359"/>
      <c r="AF10" s="357"/>
    </row>
    <row r="11" ht="15.75" customHeight="1" spans="1:32">
      <c r="A11" s="224" t="s">
        <v>41</v>
      </c>
      <c r="B11" s="225">
        <f>IF(C11="","",IF(C11&lt;&gt;0,3))</f>
        <v>3</v>
      </c>
      <c r="C11" s="226">
        <v>0.19</v>
      </c>
      <c r="D11" s="226">
        <v>0.12</v>
      </c>
      <c r="E11" s="226">
        <v>0.2</v>
      </c>
      <c r="F11" s="226">
        <v>0.22</v>
      </c>
      <c r="G11" s="226">
        <v>0.2</v>
      </c>
      <c r="H11" s="226">
        <v>0.17</v>
      </c>
      <c r="I11" s="226">
        <v>0.16</v>
      </c>
      <c r="J11" s="226">
        <v>0.22</v>
      </c>
      <c r="K11" s="226">
        <v>0.24</v>
      </c>
      <c r="L11" s="226">
        <v>0.19</v>
      </c>
      <c r="M11" s="226">
        <v>0.18</v>
      </c>
      <c r="N11" s="226">
        <v>0.23</v>
      </c>
      <c r="O11" s="226">
        <v>0.16</v>
      </c>
      <c r="P11" s="226">
        <v>0.2</v>
      </c>
      <c r="Q11" s="226">
        <v>0.24</v>
      </c>
      <c r="R11" s="226">
        <v>0.22</v>
      </c>
      <c r="S11" s="226">
        <v>0.24</v>
      </c>
      <c r="T11" s="226">
        <v>0.18</v>
      </c>
      <c r="U11" s="226">
        <v>0.2</v>
      </c>
      <c r="V11" s="226">
        <v>0.18</v>
      </c>
      <c r="W11" s="226">
        <v>0.25</v>
      </c>
      <c r="X11" s="226">
        <v>0.19</v>
      </c>
      <c r="Y11" s="226">
        <v>0.24</v>
      </c>
      <c r="Z11" s="226">
        <v>0.22</v>
      </c>
      <c r="AA11" s="226">
        <v>0.18</v>
      </c>
      <c r="AB11" s="339"/>
      <c r="AC11" s="360" t="s">
        <v>42</v>
      </c>
      <c r="AD11" s="361"/>
      <c r="AE11" s="362"/>
      <c r="AF11" s="357"/>
    </row>
    <row r="12" ht="15.75" customHeight="1" spans="1:32">
      <c r="A12" s="224" t="s">
        <v>43</v>
      </c>
      <c r="B12" s="225">
        <f>IF(C12="","",IF(C12&lt;&gt;0,4))</f>
        <v>4</v>
      </c>
      <c r="C12" s="226">
        <v>0.22</v>
      </c>
      <c r="D12" s="226">
        <v>0.22</v>
      </c>
      <c r="E12" s="226">
        <v>0.19</v>
      </c>
      <c r="F12" s="226">
        <v>0.23</v>
      </c>
      <c r="G12" s="226">
        <v>0.18</v>
      </c>
      <c r="H12" s="226">
        <v>0.2</v>
      </c>
      <c r="I12" s="226">
        <v>0.18</v>
      </c>
      <c r="J12" s="226">
        <v>0.23</v>
      </c>
      <c r="K12" s="226">
        <v>0.18</v>
      </c>
      <c r="L12" s="226">
        <v>0.18</v>
      </c>
      <c r="M12" s="226">
        <v>0.2</v>
      </c>
      <c r="N12" s="226">
        <v>0.2</v>
      </c>
      <c r="O12" s="226">
        <v>0.24</v>
      </c>
      <c r="P12" s="226">
        <v>0.2</v>
      </c>
      <c r="Q12" s="226">
        <v>0.19</v>
      </c>
      <c r="R12" s="226">
        <v>0.16</v>
      </c>
      <c r="S12" s="226">
        <v>0.2</v>
      </c>
      <c r="T12" s="226">
        <v>0.2</v>
      </c>
      <c r="U12" s="226">
        <v>0.26</v>
      </c>
      <c r="V12" s="226">
        <v>0.16</v>
      </c>
      <c r="W12" s="226">
        <v>0.25</v>
      </c>
      <c r="X12" s="226">
        <v>0.22</v>
      </c>
      <c r="Y12" s="226">
        <v>0.18</v>
      </c>
      <c r="Z12" s="226">
        <v>0.2</v>
      </c>
      <c r="AA12" s="226">
        <v>0.17</v>
      </c>
      <c r="AB12" s="339"/>
      <c r="AC12" s="363"/>
      <c r="AD12" s="364" t="s">
        <v>44</v>
      </c>
      <c r="AE12" s="365"/>
      <c r="AF12" s="357"/>
    </row>
    <row r="13" ht="15.75" customHeight="1" spans="1:32">
      <c r="A13" s="224" t="s">
        <v>45</v>
      </c>
      <c r="B13" s="225">
        <f>IF(C13="","",IF(C13&lt;&gt;0,5))</f>
        <v>5</v>
      </c>
      <c r="C13" s="226">
        <v>0.24</v>
      </c>
      <c r="D13" s="226">
        <v>0.2</v>
      </c>
      <c r="E13" s="226">
        <v>0.18</v>
      </c>
      <c r="F13" s="226">
        <v>0.16</v>
      </c>
      <c r="G13" s="226">
        <v>0.16</v>
      </c>
      <c r="H13" s="226">
        <v>0.19</v>
      </c>
      <c r="I13" s="226">
        <v>0.18</v>
      </c>
      <c r="J13" s="226">
        <v>0.22</v>
      </c>
      <c r="K13" s="226">
        <v>0.25</v>
      </c>
      <c r="L13" s="226">
        <v>0.2</v>
      </c>
      <c r="M13" s="226">
        <v>0.22</v>
      </c>
      <c r="N13" s="226">
        <v>0.22</v>
      </c>
      <c r="O13" s="226">
        <v>0.19</v>
      </c>
      <c r="P13" s="226">
        <v>0.23</v>
      </c>
      <c r="Q13" s="226">
        <v>0.2</v>
      </c>
      <c r="R13" s="226">
        <v>0.18</v>
      </c>
      <c r="S13" s="226">
        <v>0.22</v>
      </c>
      <c r="T13" s="226">
        <v>0.19</v>
      </c>
      <c r="U13" s="226">
        <v>0.25</v>
      </c>
      <c r="V13" s="226">
        <v>0.18</v>
      </c>
      <c r="W13" s="226">
        <v>0.19</v>
      </c>
      <c r="X13" s="226">
        <v>0.18</v>
      </c>
      <c r="Y13" s="226">
        <v>0.2</v>
      </c>
      <c r="Z13" s="226">
        <v>0.2</v>
      </c>
      <c r="AA13" s="226">
        <v>0.19</v>
      </c>
      <c r="AB13" s="339"/>
      <c r="AC13" s="245"/>
      <c r="AD13" s="364" t="s">
        <v>46</v>
      </c>
      <c r="AE13" s="365"/>
      <c r="AF13" s="357"/>
    </row>
    <row r="14" ht="15.75" customHeight="1" spans="1:33">
      <c r="A14" s="227"/>
      <c r="B14" s="225" t="str">
        <f>IF(C14="","",IF(C14&lt;&gt;0,6))</f>
        <v/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339"/>
      <c r="AC14" s="366" t="s">
        <v>47</v>
      </c>
      <c r="AD14" s="367">
        <f>IF(C9="","",COUNT(C9:AB14))</f>
        <v>125</v>
      </c>
      <c r="AE14" s="368"/>
      <c r="AF14" s="357"/>
      <c r="AG14" s="357"/>
    </row>
    <row r="15" ht="15.75" customHeight="1" spans="1:33">
      <c r="A15" s="229" t="s">
        <v>48</v>
      </c>
      <c r="B15" s="230"/>
      <c r="C15" s="231">
        <f>SUM(C9:C14)</f>
        <v>1.08</v>
      </c>
      <c r="D15" s="232">
        <f>SUM(D9:D14)</f>
        <v>0.86</v>
      </c>
      <c r="E15" s="232">
        <f t="shared" ref="E15:AA15" si="0">SUM(E9:E14)</f>
        <v>0.99</v>
      </c>
      <c r="F15" s="232">
        <f t="shared" si="0"/>
        <v>1.01</v>
      </c>
      <c r="G15" s="232">
        <f t="shared" si="0"/>
        <v>0.9</v>
      </c>
      <c r="H15" s="232">
        <f t="shared" si="0"/>
        <v>0.92</v>
      </c>
      <c r="I15" s="232">
        <f t="shared" si="0"/>
        <v>0.88</v>
      </c>
      <c r="J15" s="232">
        <f t="shared" si="0"/>
        <v>1.03</v>
      </c>
      <c r="K15" s="232">
        <f t="shared" si="0"/>
        <v>1.09</v>
      </c>
      <c r="L15" s="232">
        <f t="shared" si="0"/>
        <v>0.88</v>
      </c>
      <c r="M15" s="232">
        <f t="shared" si="0"/>
        <v>1.02</v>
      </c>
      <c r="N15" s="232">
        <f t="shared" si="0"/>
        <v>1.09</v>
      </c>
      <c r="O15" s="232">
        <f t="shared" si="0"/>
        <v>0.94</v>
      </c>
      <c r="P15" s="232">
        <f t="shared" si="0"/>
        <v>1.12</v>
      </c>
      <c r="Q15" s="232">
        <f t="shared" si="0"/>
        <v>1.11</v>
      </c>
      <c r="R15" s="232">
        <f t="shared" si="0"/>
        <v>0.9</v>
      </c>
      <c r="S15" s="232">
        <f t="shared" si="0"/>
        <v>1.1</v>
      </c>
      <c r="T15" s="232">
        <f t="shared" si="0"/>
        <v>0.96</v>
      </c>
      <c r="U15" s="232">
        <f t="shared" si="0"/>
        <v>1.08</v>
      </c>
      <c r="V15" s="232">
        <f t="shared" si="0"/>
        <v>0.9</v>
      </c>
      <c r="W15" s="232">
        <f t="shared" si="0"/>
        <v>1.09</v>
      </c>
      <c r="X15" s="232">
        <f t="shared" si="0"/>
        <v>1.06</v>
      </c>
      <c r="Y15" s="232">
        <f t="shared" si="0"/>
        <v>0.95</v>
      </c>
      <c r="Z15" s="232">
        <f t="shared" si="0"/>
        <v>1.02</v>
      </c>
      <c r="AA15" s="232">
        <f t="shared" si="0"/>
        <v>0.97</v>
      </c>
      <c r="AB15" s="340"/>
      <c r="AC15" s="369" t="s">
        <v>49</v>
      </c>
      <c r="AD15" s="370"/>
      <c r="AE15" s="371"/>
      <c r="AF15" s="357"/>
      <c r="AG15" s="357"/>
    </row>
    <row r="16" ht="15.75" customHeight="1" spans="1:33">
      <c r="A16" s="229" t="s">
        <v>50</v>
      </c>
      <c r="B16" s="233"/>
      <c r="C16" s="231">
        <f>SUM(C9:C14)/$M$4</f>
        <v>0.216</v>
      </c>
      <c r="D16" s="232">
        <f t="shared" ref="D16:AA16" si="1">SUM(D9:D14)/$M$4</f>
        <v>0.172</v>
      </c>
      <c r="E16" s="232">
        <f t="shared" si="1"/>
        <v>0.198</v>
      </c>
      <c r="F16" s="232">
        <f t="shared" si="1"/>
        <v>0.202</v>
      </c>
      <c r="G16" s="232">
        <f t="shared" si="1"/>
        <v>0.18</v>
      </c>
      <c r="H16" s="232">
        <f t="shared" si="1"/>
        <v>0.184</v>
      </c>
      <c r="I16" s="232">
        <f t="shared" si="1"/>
        <v>0.176</v>
      </c>
      <c r="J16" s="232">
        <f t="shared" si="1"/>
        <v>0.206</v>
      </c>
      <c r="K16" s="232">
        <f t="shared" si="1"/>
        <v>0.218</v>
      </c>
      <c r="L16" s="232">
        <f t="shared" si="1"/>
        <v>0.176</v>
      </c>
      <c r="M16" s="232">
        <f t="shared" si="1"/>
        <v>0.204</v>
      </c>
      <c r="N16" s="232">
        <f t="shared" si="1"/>
        <v>0.218</v>
      </c>
      <c r="O16" s="232">
        <f t="shared" si="1"/>
        <v>0.188</v>
      </c>
      <c r="P16" s="232">
        <f t="shared" si="1"/>
        <v>0.224</v>
      </c>
      <c r="Q16" s="232">
        <f t="shared" si="1"/>
        <v>0.222</v>
      </c>
      <c r="R16" s="232">
        <f t="shared" si="1"/>
        <v>0.18</v>
      </c>
      <c r="S16" s="232">
        <f t="shared" si="1"/>
        <v>0.22</v>
      </c>
      <c r="T16" s="232">
        <f t="shared" si="1"/>
        <v>0.192</v>
      </c>
      <c r="U16" s="232">
        <f t="shared" si="1"/>
        <v>0.216</v>
      </c>
      <c r="V16" s="232">
        <f t="shared" si="1"/>
        <v>0.18</v>
      </c>
      <c r="W16" s="232">
        <f t="shared" si="1"/>
        <v>0.218</v>
      </c>
      <c r="X16" s="232">
        <f t="shared" si="1"/>
        <v>0.212</v>
      </c>
      <c r="Y16" s="232">
        <f t="shared" si="1"/>
        <v>0.19</v>
      </c>
      <c r="Z16" s="232">
        <f t="shared" si="1"/>
        <v>0.204</v>
      </c>
      <c r="AA16" s="341">
        <f t="shared" si="1"/>
        <v>0.194</v>
      </c>
      <c r="AB16" s="340"/>
      <c r="AC16" s="372" t="s">
        <v>51</v>
      </c>
      <c r="AD16" s="373">
        <f>IF(C9="","",AVERAGE(C9:AB11))</f>
        <v>0.198533333333333</v>
      </c>
      <c r="AE16" s="374"/>
      <c r="AF16" s="357"/>
      <c r="AG16" s="357"/>
    </row>
    <row r="17" ht="15.75" customHeight="1" spans="1:33">
      <c r="A17" s="229" t="s">
        <v>2</v>
      </c>
      <c r="B17" s="233"/>
      <c r="C17" s="234">
        <f>MAX(C9:C14)-MIN(C9:C14)</f>
        <v>0.07</v>
      </c>
      <c r="D17" s="235">
        <f>MAX(D9:D14)-MIN(D9:D14)</f>
        <v>0.1</v>
      </c>
      <c r="E17" s="235">
        <f t="shared" ref="E17:AA17" si="2">MAX(E9:E14)-MIN(E9:E14)</f>
        <v>0.04</v>
      </c>
      <c r="F17" s="235">
        <f t="shared" si="2"/>
        <v>0.07</v>
      </c>
      <c r="G17" s="235">
        <f t="shared" si="2"/>
        <v>0.04</v>
      </c>
      <c r="H17" s="235">
        <f t="shared" si="2"/>
        <v>0.04</v>
      </c>
      <c r="I17" s="235">
        <f t="shared" si="2"/>
        <v>0.02</v>
      </c>
      <c r="J17" s="235">
        <f t="shared" si="2"/>
        <v>0.07</v>
      </c>
      <c r="K17" s="235">
        <f t="shared" si="2"/>
        <v>0.07</v>
      </c>
      <c r="L17" s="235">
        <f t="shared" si="2"/>
        <v>0.05</v>
      </c>
      <c r="M17" s="235">
        <f t="shared" si="2"/>
        <v>0.06</v>
      </c>
      <c r="N17" s="235">
        <f t="shared" si="2"/>
        <v>0.04</v>
      </c>
      <c r="O17" s="235">
        <f t="shared" si="2"/>
        <v>0.08</v>
      </c>
      <c r="P17" s="235">
        <f t="shared" si="2"/>
        <v>0.05</v>
      </c>
      <c r="Q17" s="235">
        <f t="shared" si="2"/>
        <v>0.06</v>
      </c>
      <c r="R17" s="235">
        <f t="shared" si="2"/>
        <v>0.07</v>
      </c>
      <c r="S17" s="235">
        <f t="shared" si="2"/>
        <v>0.06</v>
      </c>
      <c r="T17" s="235">
        <f t="shared" si="2"/>
        <v>0.02</v>
      </c>
      <c r="U17" s="235">
        <f t="shared" si="2"/>
        <v>0.08</v>
      </c>
      <c r="V17" s="235">
        <f t="shared" si="2"/>
        <v>0.03</v>
      </c>
      <c r="W17" s="235">
        <f t="shared" si="2"/>
        <v>0.06</v>
      </c>
      <c r="X17" s="235">
        <f t="shared" si="2"/>
        <v>0.07</v>
      </c>
      <c r="Y17" s="235">
        <f t="shared" si="2"/>
        <v>0.09</v>
      </c>
      <c r="Z17" s="235">
        <f t="shared" si="2"/>
        <v>0.02</v>
      </c>
      <c r="AA17" s="235">
        <f t="shared" si="2"/>
        <v>0.07</v>
      </c>
      <c r="AB17" s="340"/>
      <c r="AC17" s="375" t="s">
        <v>52</v>
      </c>
      <c r="AD17" s="376">
        <f>IF(C17="","",AVERAGE(C17:AB17))</f>
        <v>0.0572</v>
      </c>
      <c r="AE17" s="377"/>
      <c r="AF17" s="357"/>
      <c r="AG17" s="357"/>
    </row>
    <row r="18" ht="15.75" customHeight="1" spans="1:33">
      <c r="A18" s="236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378"/>
      <c r="AD18" s="237"/>
      <c r="AE18" s="379"/>
      <c r="AF18" s="357"/>
      <c r="AG18" s="357"/>
    </row>
    <row r="19" ht="15.75" customHeight="1" spans="1:33">
      <c r="A19" s="238" t="s">
        <v>53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380" t="s">
        <v>54</v>
      </c>
      <c r="AD19" s="381"/>
      <c r="AE19" s="382"/>
      <c r="AF19" s="357"/>
      <c r="AG19" s="357"/>
    </row>
    <row r="20" ht="15.75" customHeight="1" spans="1:33">
      <c r="A20" s="240" t="s">
        <v>55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383">
        <f>IF(AE25="","",(1-NORMSDIST(STANDARDIZE(K4,AD16,AE25))+NORMSDIST(STANDARDIZE(K6,AD16,AE25)))*1000000)</f>
        <v>17.8896812683406</v>
      </c>
      <c r="AD20" s="384"/>
      <c r="AE20" s="385"/>
      <c r="AF20" s="357"/>
      <c r="AG20" s="357"/>
    </row>
    <row r="21" ht="15.75" customHeight="1" spans="1:33">
      <c r="A21" s="241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386"/>
      <c r="AD21" s="387"/>
      <c r="AE21" s="388"/>
      <c r="AF21" s="357"/>
      <c r="AG21" s="357"/>
    </row>
    <row r="22" ht="15.75" customHeight="1" spans="1:33">
      <c r="A22" s="241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389"/>
      <c r="AD22" s="390"/>
      <c r="AE22" s="391"/>
      <c r="AF22" s="357"/>
      <c r="AG22" s="357"/>
    </row>
    <row r="23" ht="15.75" customHeight="1" spans="1:33">
      <c r="A23" s="241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392" t="s">
        <v>56</v>
      </c>
      <c r="AD23" s="393"/>
      <c r="AE23" s="394"/>
      <c r="AF23" s="357"/>
      <c r="AG23" s="357"/>
    </row>
    <row r="24" ht="15.75" customHeight="1" spans="1:33">
      <c r="A24" s="241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395" t="s">
        <v>57</v>
      </c>
      <c r="AD24" s="396"/>
      <c r="AE24" s="397">
        <f>IF(AE8="","",SQRT((AB45-(AE8*AE8/AD14))/(AD14-1)))</f>
        <v>0.0284094486780997</v>
      </c>
      <c r="AF24" s="357"/>
      <c r="AG24" s="357"/>
    </row>
    <row r="25" ht="16.5" customHeight="1" spans="1:33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398" t="s">
        <v>58</v>
      </c>
      <c r="AD25" s="399"/>
      <c r="AE25" s="400">
        <f>IF(AD17="","",AD17/L37)</f>
        <v>0.024549356223176</v>
      </c>
      <c r="AF25" s="357"/>
      <c r="AG25" s="357"/>
    </row>
    <row r="26" ht="16.5" customHeight="1" spans="1:33">
      <c r="A26" s="242" t="s">
        <v>2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401"/>
      <c r="AD26" s="428" t="s">
        <v>59</v>
      </c>
      <c r="AE26" s="403">
        <f>IF(K4="","",MIN((K4-AD16)/(3*AE24),(AD16-K6)/(3*AE24)))</f>
        <v>1.19052722935434</v>
      </c>
      <c r="AF26" s="357"/>
      <c r="AG26" s="357"/>
    </row>
    <row r="27" ht="16.5" customHeight="1" spans="1:33">
      <c r="A27" s="240" t="s">
        <v>55</v>
      </c>
      <c r="B27" s="243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398"/>
      <c r="AD27" s="404" t="s">
        <v>60</v>
      </c>
      <c r="AE27" s="405">
        <f>IF(K4="","",(K4-K6)/(6*AE24))</f>
        <v>1.75997783577349</v>
      </c>
      <c r="AF27" s="406"/>
      <c r="AG27" s="406"/>
    </row>
    <row r="28" ht="16.5" customHeight="1" spans="1:33">
      <c r="A28" s="241"/>
      <c r="B28" s="244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407"/>
      <c r="AD28" s="408" t="s">
        <v>61</v>
      </c>
      <c r="AE28" s="409">
        <f>IF(AD16="","",ABS(AD16-((K4+K6)/2))/((K4-K6)/2))</f>
        <v>0.323555555555555</v>
      </c>
      <c r="AF28" s="406"/>
      <c r="AG28" s="406"/>
    </row>
    <row r="29" ht="16.5" customHeight="1" spans="1:33">
      <c r="A29" s="241"/>
      <c r="B29" s="245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407"/>
      <c r="AD29" s="429" t="s">
        <v>62</v>
      </c>
      <c r="AE29" s="411">
        <f>IF(K4="","",MIN((K4-AD16)/(3*AD17/L37),(AD16-K6)/(3*AD17/L37)))</f>
        <v>1.37772338772339</v>
      </c>
      <c r="AF29" s="272"/>
      <c r="AG29" s="272"/>
    </row>
    <row r="30" ht="16.5" customHeight="1" spans="1:33">
      <c r="A30" s="241"/>
      <c r="B30" s="247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407"/>
      <c r="AD30" s="410" t="s">
        <v>63</v>
      </c>
      <c r="AE30" s="411">
        <f>IF(K4="","",(K4-K6)/(6*AD17/L37))</f>
        <v>2.03671328671329</v>
      </c>
      <c r="AF30" s="272"/>
      <c r="AG30" s="272"/>
    </row>
    <row r="31" ht="16.5" customHeight="1" spans="1:33">
      <c r="A31" s="248"/>
      <c r="B31" s="247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412" t="s">
        <v>64</v>
      </c>
      <c r="AD31" s="413"/>
      <c r="AE31" s="414" t="str">
        <f>IF(AE29="","",IF(AE29&lt;0.67,"E",IF(AE29&lt;1,"D",IF(AE29&lt;1.33,"C",IF(AE29&lt;1.67,"B","A")))))</f>
        <v>B</v>
      </c>
      <c r="AF31" s="272"/>
      <c r="AG31" s="272"/>
    </row>
    <row r="32" spans="1:33">
      <c r="A32" s="249" t="s">
        <v>65</v>
      </c>
      <c r="B32" s="250"/>
      <c r="C32" s="251"/>
      <c r="D32" s="252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415"/>
      <c r="AD32" s="415"/>
      <c r="AE32" s="416"/>
      <c r="AF32" s="272"/>
      <c r="AG32" s="272"/>
    </row>
    <row r="33" spans="1:33">
      <c r="A33" s="253"/>
      <c r="B33" s="254"/>
      <c r="C33" s="255"/>
      <c r="D33" s="256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415"/>
      <c r="AD33" s="415"/>
      <c r="AE33" s="416"/>
      <c r="AF33" s="272"/>
      <c r="AG33" s="272"/>
    </row>
    <row r="34" ht="18.35" spans="1:33">
      <c r="A34" s="257"/>
      <c r="B34" s="258"/>
      <c r="C34" s="259"/>
      <c r="D34" s="260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417"/>
      <c r="AD34" s="417"/>
      <c r="AE34" s="418"/>
      <c r="AF34" s="272"/>
      <c r="AG34" s="272"/>
    </row>
    <row r="35" spans="1:33">
      <c r="A35" s="261"/>
      <c r="B35" s="262"/>
      <c r="C35" s="262"/>
      <c r="D35" s="26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72"/>
    </row>
    <row r="36" ht="15" customHeight="1" spans="1:33">
      <c r="A36" s="263"/>
      <c r="B36" s="263" t="s">
        <v>66</v>
      </c>
      <c r="C36" s="263">
        <v>2</v>
      </c>
      <c r="D36" s="263">
        <v>3</v>
      </c>
      <c r="E36" s="263">
        <v>4</v>
      </c>
      <c r="F36" s="263">
        <v>5</v>
      </c>
      <c r="G36" s="263">
        <v>6</v>
      </c>
      <c r="H36" s="263">
        <v>7</v>
      </c>
      <c r="I36" s="263">
        <v>8</v>
      </c>
      <c r="J36" s="263">
        <v>9</v>
      </c>
      <c r="K36" s="263">
        <v>10</v>
      </c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82"/>
      <c r="AD36" s="282"/>
      <c r="AE36" s="282"/>
      <c r="AF36" s="282"/>
      <c r="AG36" s="272"/>
    </row>
    <row r="37" spans="1:33">
      <c r="A37" s="263"/>
      <c r="B37" s="263" t="s">
        <v>67</v>
      </c>
      <c r="C37" s="264">
        <v>1.13</v>
      </c>
      <c r="D37" s="264">
        <v>1.69</v>
      </c>
      <c r="E37" s="264">
        <v>2.06</v>
      </c>
      <c r="F37" s="264">
        <v>2.33</v>
      </c>
      <c r="G37" s="264">
        <v>2.53</v>
      </c>
      <c r="H37" s="264">
        <v>2.7</v>
      </c>
      <c r="I37" s="264">
        <v>2.85</v>
      </c>
      <c r="J37" s="264">
        <v>2.97</v>
      </c>
      <c r="K37" s="264">
        <v>3.08</v>
      </c>
      <c r="L37" s="264">
        <f>IF(M4=2,C37,IF(M4=3,D37,IF(M4=4,E37,IF(M4=5,F37,IF(M4=6,G37,H37)))))</f>
        <v>2.33</v>
      </c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72"/>
      <c r="AD37" s="272"/>
      <c r="AE37" s="272"/>
      <c r="AF37" s="272"/>
      <c r="AG37" s="272"/>
    </row>
    <row r="38" spans="1:33">
      <c r="A38" s="263"/>
      <c r="B38" s="265" t="s">
        <v>68</v>
      </c>
      <c r="C38" s="264">
        <v>0</v>
      </c>
      <c r="D38" s="264">
        <v>0</v>
      </c>
      <c r="E38" s="264">
        <v>0</v>
      </c>
      <c r="F38" s="264">
        <v>0</v>
      </c>
      <c r="G38" s="264">
        <v>0</v>
      </c>
      <c r="H38" s="264">
        <v>0.08</v>
      </c>
      <c r="I38" s="264">
        <v>0.14</v>
      </c>
      <c r="J38" s="264">
        <v>0.18</v>
      </c>
      <c r="K38" s="264">
        <v>0.22</v>
      </c>
      <c r="L38" s="264">
        <f>IF(M4=7,H38,C38)</f>
        <v>0</v>
      </c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72"/>
      <c r="AD38" s="272"/>
      <c r="AE38" s="272"/>
      <c r="AF38" s="272"/>
      <c r="AG38" s="272"/>
    </row>
    <row r="39" spans="1:33">
      <c r="A39" s="263"/>
      <c r="B39" s="263" t="s">
        <v>69</v>
      </c>
      <c r="C39" s="264">
        <v>3.27</v>
      </c>
      <c r="D39" s="264">
        <v>2.57</v>
      </c>
      <c r="E39" s="264">
        <v>2.28</v>
      </c>
      <c r="F39" s="264">
        <v>2.11</v>
      </c>
      <c r="G39" s="283">
        <v>2</v>
      </c>
      <c r="H39" s="264">
        <v>1.92</v>
      </c>
      <c r="I39" s="264">
        <v>1.86</v>
      </c>
      <c r="J39" s="264">
        <v>1.82</v>
      </c>
      <c r="K39" s="264">
        <v>1.78</v>
      </c>
      <c r="L39" s="264">
        <f>IF(M4=2,C39,IF(M4=3,D39,IF(M4=4,E39,IF(M4=5,F39,IF(M4=6,G39,H39)))))</f>
        <v>2.11</v>
      </c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72"/>
      <c r="AD39" s="272"/>
      <c r="AE39" s="272"/>
      <c r="AF39" s="272"/>
      <c r="AG39" s="272"/>
    </row>
    <row r="40" spans="1:33">
      <c r="A40" s="263"/>
      <c r="B40" s="263" t="s">
        <v>70</v>
      </c>
      <c r="C40" s="264">
        <v>1.88</v>
      </c>
      <c r="D40" s="264">
        <v>1.02</v>
      </c>
      <c r="E40" s="264">
        <v>0.73</v>
      </c>
      <c r="F40" s="264">
        <v>0.58</v>
      </c>
      <c r="G40" s="264">
        <v>0.48</v>
      </c>
      <c r="H40" s="264">
        <v>0.42</v>
      </c>
      <c r="I40" s="264">
        <v>0.37</v>
      </c>
      <c r="J40" s="264">
        <v>0.34</v>
      </c>
      <c r="K40" s="264">
        <v>0.31</v>
      </c>
      <c r="L40" s="264">
        <f>IF(M4=2,C40,IF(M4=3,D40,IF(M4=4,E40,IF(M4=5,F40,IF(M4=6,G40,H40)))))</f>
        <v>0.58</v>
      </c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72"/>
      <c r="AD40" s="272"/>
      <c r="AE40" s="272"/>
      <c r="AF40" s="272"/>
      <c r="AG40" s="272"/>
    </row>
    <row r="41" spans="1:33">
      <c r="A41" s="263"/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72"/>
      <c r="AD41" s="272"/>
      <c r="AE41" s="272"/>
      <c r="AF41" s="272"/>
      <c r="AG41" s="272"/>
    </row>
    <row r="42" spans="1:33">
      <c r="A42" s="266" t="s">
        <v>71</v>
      </c>
      <c r="B42" s="263"/>
      <c r="C42" s="263"/>
      <c r="D42" s="263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3"/>
      <c r="AC42" s="272"/>
      <c r="AD42" s="272"/>
      <c r="AE42" s="272"/>
      <c r="AF42" s="272"/>
      <c r="AG42" s="272"/>
    </row>
    <row r="43" spans="1:33">
      <c r="A43" s="266" t="s">
        <v>72</v>
      </c>
      <c r="B43" s="267">
        <f t="shared" ref="B43:AA43" si="3">$Q$4</f>
        <v>0.231709333333333</v>
      </c>
      <c r="C43" s="267">
        <f t="shared" si="3"/>
        <v>0.231709333333333</v>
      </c>
      <c r="D43" s="267">
        <f t="shared" si="3"/>
        <v>0.231709333333333</v>
      </c>
      <c r="E43" s="267">
        <f t="shared" si="3"/>
        <v>0.231709333333333</v>
      </c>
      <c r="F43" s="267">
        <f t="shared" si="3"/>
        <v>0.231709333333333</v>
      </c>
      <c r="G43" s="267">
        <f t="shared" si="3"/>
        <v>0.231709333333333</v>
      </c>
      <c r="H43" s="267">
        <f t="shared" si="3"/>
        <v>0.231709333333333</v>
      </c>
      <c r="I43" s="267">
        <f t="shared" si="3"/>
        <v>0.231709333333333</v>
      </c>
      <c r="J43" s="267">
        <f t="shared" si="3"/>
        <v>0.231709333333333</v>
      </c>
      <c r="K43" s="267">
        <f t="shared" si="3"/>
        <v>0.231709333333333</v>
      </c>
      <c r="L43" s="267">
        <f t="shared" si="3"/>
        <v>0.231709333333333</v>
      </c>
      <c r="M43" s="267">
        <f t="shared" si="3"/>
        <v>0.231709333333333</v>
      </c>
      <c r="N43" s="267">
        <f t="shared" si="3"/>
        <v>0.231709333333333</v>
      </c>
      <c r="O43" s="267">
        <f t="shared" si="3"/>
        <v>0.231709333333333</v>
      </c>
      <c r="P43" s="267">
        <f t="shared" si="3"/>
        <v>0.231709333333333</v>
      </c>
      <c r="Q43" s="267">
        <f t="shared" si="3"/>
        <v>0.231709333333333</v>
      </c>
      <c r="R43" s="267">
        <f t="shared" si="3"/>
        <v>0.231709333333333</v>
      </c>
      <c r="S43" s="267">
        <f t="shared" si="3"/>
        <v>0.231709333333333</v>
      </c>
      <c r="T43" s="267">
        <f t="shared" si="3"/>
        <v>0.231709333333333</v>
      </c>
      <c r="U43" s="267">
        <f t="shared" si="3"/>
        <v>0.231709333333333</v>
      </c>
      <c r="V43" s="267">
        <f t="shared" si="3"/>
        <v>0.231709333333333</v>
      </c>
      <c r="W43" s="267">
        <f t="shared" si="3"/>
        <v>0.231709333333333</v>
      </c>
      <c r="X43" s="267">
        <f t="shared" si="3"/>
        <v>0.231709333333333</v>
      </c>
      <c r="Y43" s="267">
        <f t="shared" si="3"/>
        <v>0.231709333333333</v>
      </c>
      <c r="Z43" s="267">
        <f t="shared" si="3"/>
        <v>0.231709333333333</v>
      </c>
      <c r="AA43" s="267">
        <f t="shared" si="3"/>
        <v>0.231709333333333</v>
      </c>
      <c r="AB43" s="263"/>
      <c r="AC43" s="419"/>
      <c r="AD43" s="272"/>
      <c r="AE43" s="272"/>
      <c r="AF43" s="272"/>
      <c r="AG43" s="272"/>
    </row>
    <row r="44" spans="1:33">
      <c r="A44" s="266" t="s">
        <v>73</v>
      </c>
      <c r="B44" s="268">
        <f t="shared" ref="B44:AA44" si="4">$Q$5</f>
        <v>0.198533333333333</v>
      </c>
      <c r="C44" s="268">
        <f t="shared" si="4"/>
        <v>0.198533333333333</v>
      </c>
      <c r="D44" s="268">
        <f t="shared" si="4"/>
        <v>0.198533333333333</v>
      </c>
      <c r="E44" s="268">
        <f t="shared" si="4"/>
        <v>0.198533333333333</v>
      </c>
      <c r="F44" s="268">
        <f t="shared" si="4"/>
        <v>0.198533333333333</v>
      </c>
      <c r="G44" s="268">
        <f t="shared" si="4"/>
        <v>0.198533333333333</v>
      </c>
      <c r="H44" s="268">
        <f t="shared" si="4"/>
        <v>0.198533333333333</v>
      </c>
      <c r="I44" s="268">
        <f t="shared" si="4"/>
        <v>0.198533333333333</v>
      </c>
      <c r="J44" s="268">
        <f t="shared" si="4"/>
        <v>0.198533333333333</v>
      </c>
      <c r="K44" s="268">
        <f t="shared" si="4"/>
        <v>0.198533333333333</v>
      </c>
      <c r="L44" s="268">
        <f t="shared" si="4"/>
        <v>0.198533333333333</v>
      </c>
      <c r="M44" s="268">
        <f t="shared" si="4"/>
        <v>0.198533333333333</v>
      </c>
      <c r="N44" s="268">
        <f t="shared" si="4"/>
        <v>0.198533333333333</v>
      </c>
      <c r="O44" s="268">
        <f t="shared" si="4"/>
        <v>0.198533333333333</v>
      </c>
      <c r="P44" s="268">
        <f t="shared" si="4"/>
        <v>0.198533333333333</v>
      </c>
      <c r="Q44" s="268">
        <f t="shared" si="4"/>
        <v>0.198533333333333</v>
      </c>
      <c r="R44" s="268">
        <f t="shared" si="4"/>
        <v>0.198533333333333</v>
      </c>
      <c r="S44" s="268">
        <f t="shared" si="4"/>
        <v>0.198533333333333</v>
      </c>
      <c r="T44" s="268">
        <f t="shared" si="4"/>
        <v>0.198533333333333</v>
      </c>
      <c r="U44" s="268">
        <f t="shared" si="4"/>
        <v>0.198533333333333</v>
      </c>
      <c r="V44" s="268">
        <f t="shared" si="4"/>
        <v>0.198533333333333</v>
      </c>
      <c r="W44" s="268">
        <f t="shared" si="4"/>
        <v>0.198533333333333</v>
      </c>
      <c r="X44" s="268">
        <f t="shared" si="4"/>
        <v>0.198533333333333</v>
      </c>
      <c r="Y44" s="268">
        <f t="shared" si="4"/>
        <v>0.198533333333333</v>
      </c>
      <c r="Z44" s="268">
        <f t="shared" si="4"/>
        <v>0.198533333333333</v>
      </c>
      <c r="AA44" s="268">
        <f t="shared" si="4"/>
        <v>0.198533333333333</v>
      </c>
      <c r="AB44" s="263"/>
      <c r="AC44" s="419"/>
      <c r="AD44" s="272"/>
      <c r="AE44" s="272"/>
      <c r="AF44" s="272"/>
      <c r="AG44" s="272"/>
    </row>
    <row r="45" spans="1:33">
      <c r="A45" s="266" t="s">
        <v>74</v>
      </c>
      <c r="B45" s="269">
        <f t="shared" ref="B45:AA45" si="5">$Q$6</f>
        <v>0.165357333333333</v>
      </c>
      <c r="C45" s="269">
        <f t="shared" si="5"/>
        <v>0.165357333333333</v>
      </c>
      <c r="D45" s="269">
        <f t="shared" si="5"/>
        <v>0.165357333333333</v>
      </c>
      <c r="E45" s="269">
        <f t="shared" si="5"/>
        <v>0.165357333333333</v>
      </c>
      <c r="F45" s="269">
        <f t="shared" si="5"/>
        <v>0.165357333333333</v>
      </c>
      <c r="G45" s="269">
        <f t="shared" si="5"/>
        <v>0.165357333333333</v>
      </c>
      <c r="H45" s="269">
        <f t="shared" si="5"/>
        <v>0.165357333333333</v>
      </c>
      <c r="I45" s="269">
        <f t="shared" si="5"/>
        <v>0.165357333333333</v>
      </c>
      <c r="J45" s="269">
        <f t="shared" si="5"/>
        <v>0.165357333333333</v>
      </c>
      <c r="K45" s="269">
        <f t="shared" si="5"/>
        <v>0.165357333333333</v>
      </c>
      <c r="L45" s="269">
        <f t="shared" si="5"/>
        <v>0.165357333333333</v>
      </c>
      <c r="M45" s="269">
        <f t="shared" si="5"/>
        <v>0.165357333333333</v>
      </c>
      <c r="N45" s="269">
        <f t="shared" si="5"/>
        <v>0.165357333333333</v>
      </c>
      <c r="O45" s="269">
        <f t="shared" si="5"/>
        <v>0.165357333333333</v>
      </c>
      <c r="P45" s="269">
        <f t="shared" si="5"/>
        <v>0.165357333333333</v>
      </c>
      <c r="Q45" s="269">
        <f t="shared" si="5"/>
        <v>0.165357333333333</v>
      </c>
      <c r="R45" s="269">
        <f t="shared" si="5"/>
        <v>0.165357333333333</v>
      </c>
      <c r="S45" s="269">
        <f t="shared" si="5"/>
        <v>0.165357333333333</v>
      </c>
      <c r="T45" s="269">
        <f t="shared" si="5"/>
        <v>0.165357333333333</v>
      </c>
      <c r="U45" s="269">
        <f t="shared" si="5"/>
        <v>0.165357333333333</v>
      </c>
      <c r="V45" s="269">
        <f t="shared" si="5"/>
        <v>0.165357333333333</v>
      </c>
      <c r="W45" s="269">
        <f t="shared" si="5"/>
        <v>0.165357333333333</v>
      </c>
      <c r="X45" s="269">
        <f t="shared" si="5"/>
        <v>0.165357333333333</v>
      </c>
      <c r="Y45" s="269">
        <f t="shared" si="5"/>
        <v>0.165357333333333</v>
      </c>
      <c r="Z45" s="269">
        <f t="shared" si="5"/>
        <v>0.165357333333333</v>
      </c>
      <c r="AA45" s="269">
        <f t="shared" si="5"/>
        <v>0.165357333333333</v>
      </c>
      <c r="AB45" s="342">
        <f>SUM(AB46:AB51)</f>
        <v>5.0801</v>
      </c>
      <c r="AC45" s="419"/>
      <c r="AD45" s="272"/>
      <c r="AE45" s="272"/>
      <c r="AF45" s="272"/>
      <c r="AG45" s="272"/>
    </row>
    <row r="46" spans="1:33">
      <c r="A46" s="266"/>
      <c r="B46" s="267">
        <f t="shared" ref="B46:AA46" si="6">(C9)*(C9)</f>
        <v>0.0625</v>
      </c>
      <c r="C46" s="267">
        <f t="shared" si="6"/>
        <v>0.0361</v>
      </c>
      <c r="D46" s="267">
        <f t="shared" si="6"/>
        <v>0.04</v>
      </c>
      <c r="E46" s="267">
        <f t="shared" si="6"/>
        <v>0.0484</v>
      </c>
      <c r="F46" s="267">
        <f t="shared" si="6"/>
        <v>0.0361</v>
      </c>
      <c r="G46" s="267">
        <f t="shared" si="6"/>
        <v>0.04</v>
      </c>
      <c r="H46" s="267">
        <f t="shared" si="6"/>
        <v>0.0324</v>
      </c>
      <c r="I46" s="267">
        <f t="shared" si="6"/>
        <v>0.0256</v>
      </c>
      <c r="J46" s="267">
        <f t="shared" si="6"/>
        <v>0.04</v>
      </c>
      <c r="K46" s="267">
        <f t="shared" si="6"/>
        <v>0.0256</v>
      </c>
      <c r="L46" s="267">
        <f t="shared" si="6"/>
        <v>0.0576</v>
      </c>
      <c r="M46" s="267">
        <f t="shared" si="6"/>
        <v>0.04</v>
      </c>
      <c r="N46" s="267">
        <f t="shared" si="6"/>
        <v>0.0324</v>
      </c>
      <c r="O46" s="267">
        <f t="shared" si="6"/>
        <v>0.0576</v>
      </c>
      <c r="P46" s="267">
        <f t="shared" si="6"/>
        <v>0.0529</v>
      </c>
      <c r="Q46" s="267">
        <f t="shared" si="6"/>
        <v>0.0361</v>
      </c>
      <c r="R46" s="267">
        <f t="shared" si="6"/>
        <v>0.0361</v>
      </c>
      <c r="S46" s="267">
        <f t="shared" si="6"/>
        <v>0.0361</v>
      </c>
      <c r="T46" s="267">
        <f t="shared" si="6"/>
        <v>0.0324</v>
      </c>
      <c r="U46" s="267">
        <f t="shared" si="6"/>
        <v>0.0361</v>
      </c>
      <c r="V46" s="267">
        <f t="shared" si="6"/>
        <v>0.04</v>
      </c>
      <c r="W46" s="267">
        <f t="shared" si="6"/>
        <v>0.0625</v>
      </c>
      <c r="X46" s="267">
        <f t="shared" si="6"/>
        <v>0.0324</v>
      </c>
      <c r="Y46" s="267">
        <f t="shared" si="6"/>
        <v>0.04</v>
      </c>
      <c r="Z46" s="267">
        <f t="shared" si="6"/>
        <v>0.0361</v>
      </c>
      <c r="AA46" s="267">
        <f t="shared" si="6"/>
        <v>0</v>
      </c>
      <c r="AB46" s="342">
        <f t="shared" ref="AB46:AB51" si="7">SUM(B46:AA46)</f>
        <v>1.015</v>
      </c>
      <c r="AC46" s="419"/>
      <c r="AD46" s="272"/>
      <c r="AE46" s="272"/>
      <c r="AF46" s="272"/>
      <c r="AG46" s="272"/>
    </row>
    <row r="47" spans="1:33">
      <c r="A47" s="266"/>
      <c r="B47" s="267">
        <f t="shared" ref="B47:AA47" si="8">(C10)*(C10)</f>
        <v>0.0324</v>
      </c>
      <c r="C47" s="267">
        <f t="shared" si="8"/>
        <v>0.0169</v>
      </c>
      <c r="D47" s="267">
        <f t="shared" si="8"/>
        <v>0.0484</v>
      </c>
      <c r="E47" s="267">
        <f t="shared" si="8"/>
        <v>0.0324</v>
      </c>
      <c r="F47" s="267">
        <f t="shared" si="8"/>
        <v>0.0289</v>
      </c>
      <c r="G47" s="267">
        <f t="shared" si="8"/>
        <v>0.0256</v>
      </c>
      <c r="H47" s="267">
        <f t="shared" si="8"/>
        <v>0.0324</v>
      </c>
      <c r="I47" s="267">
        <f t="shared" si="8"/>
        <v>0.04</v>
      </c>
      <c r="J47" s="267">
        <f t="shared" si="8"/>
        <v>0.0484</v>
      </c>
      <c r="K47" s="267">
        <f t="shared" si="8"/>
        <v>0.0225</v>
      </c>
      <c r="L47" s="267">
        <f t="shared" si="8"/>
        <v>0.0324</v>
      </c>
      <c r="M47" s="267">
        <f t="shared" si="8"/>
        <v>0.0576</v>
      </c>
      <c r="N47" s="267">
        <f t="shared" si="8"/>
        <v>0.0289</v>
      </c>
      <c r="O47" s="267">
        <f t="shared" si="8"/>
        <v>0.0625</v>
      </c>
      <c r="P47" s="267">
        <f t="shared" si="8"/>
        <v>0.0625</v>
      </c>
      <c r="Q47" s="267">
        <f t="shared" si="8"/>
        <v>0.0225</v>
      </c>
      <c r="R47" s="267">
        <f t="shared" si="8"/>
        <v>0.0625</v>
      </c>
      <c r="S47" s="267">
        <f t="shared" si="8"/>
        <v>0.04</v>
      </c>
      <c r="T47" s="267">
        <f t="shared" si="8"/>
        <v>0.0361</v>
      </c>
      <c r="U47" s="267">
        <f t="shared" si="8"/>
        <v>0.0361</v>
      </c>
      <c r="V47" s="267">
        <f t="shared" si="8"/>
        <v>0.04</v>
      </c>
      <c r="W47" s="267">
        <f t="shared" si="8"/>
        <v>0.0484</v>
      </c>
      <c r="X47" s="267">
        <f t="shared" si="8"/>
        <v>0.0225</v>
      </c>
      <c r="Y47" s="267">
        <f t="shared" si="8"/>
        <v>0.04</v>
      </c>
      <c r="Z47" s="267">
        <f t="shared" si="8"/>
        <v>0.0576</v>
      </c>
      <c r="AA47" s="267">
        <f t="shared" si="8"/>
        <v>0</v>
      </c>
      <c r="AB47" s="342">
        <f t="shared" si="7"/>
        <v>0.9775</v>
      </c>
      <c r="AC47" s="419"/>
      <c r="AD47" s="272"/>
      <c r="AE47" s="272"/>
      <c r="AF47" s="272"/>
      <c r="AG47" s="272"/>
    </row>
    <row r="48" spans="1:33">
      <c r="A48" s="266"/>
      <c r="B48" s="267">
        <f t="shared" ref="B48:AA48" si="9">(C11)*(C11)</f>
        <v>0.0361</v>
      </c>
      <c r="C48" s="267">
        <f t="shared" si="9"/>
        <v>0.0144</v>
      </c>
      <c r="D48" s="267">
        <f t="shared" si="9"/>
        <v>0.04</v>
      </c>
      <c r="E48" s="267">
        <f t="shared" si="9"/>
        <v>0.0484</v>
      </c>
      <c r="F48" s="267">
        <f t="shared" si="9"/>
        <v>0.04</v>
      </c>
      <c r="G48" s="267">
        <f t="shared" si="9"/>
        <v>0.0289</v>
      </c>
      <c r="H48" s="267">
        <f t="shared" si="9"/>
        <v>0.0256</v>
      </c>
      <c r="I48" s="267">
        <f t="shared" si="9"/>
        <v>0.0484</v>
      </c>
      <c r="J48" s="267">
        <f t="shared" si="9"/>
        <v>0.0576</v>
      </c>
      <c r="K48" s="267">
        <f t="shared" si="9"/>
        <v>0.0361</v>
      </c>
      <c r="L48" s="267">
        <f t="shared" si="9"/>
        <v>0.0324</v>
      </c>
      <c r="M48" s="267">
        <f t="shared" si="9"/>
        <v>0.0529</v>
      </c>
      <c r="N48" s="267">
        <f t="shared" si="9"/>
        <v>0.0256</v>
      </c>
      <c r="O48" s="267">
        <f t="shared" si="9"/>
        <v>0.04</v>
      </c>
      <c r="P48" s="267">
        <f t="shared" si="9"/>
        <v>0.0576</v>
      </c>
      <c r="Q48" s="267">
        <f t="shared" si="9"/>
        <v>0.0484</v>
      </c>
      <c r="R48" s="267">
        <f t="shared" si="9"/>
        <v>0.0576</v>
      </c>
      <c r="S48" s="267">
        <f t="shared" si="9"/>
        <v>0.0324</v>
      </c>
      <c r="T48" s="267">
        <f t="shared" si="9"/>
        <v>0.04</v>
      </c>
      <c r="U48" s="267">
        <f t="shared" si="9"/>
        <v>0.0324</v>
      </c>
      <c r="V48" s="267">
        <f t="shared" si="9"/>
        <v>0.0625</v>
      </c>
      <c r="W48" s="267">
        <f t="shared" si="9"/>
        <v>0.0361</v>
      </c>
      <c r="X48" s="267">
        <f t="shared" si="9"/>
        <v>0.0576</v>
      </c>
      <c r="Y48" s="267">
        <f t="shared" si="9"/>
        <v>0.0484</v>
      </c>
      <c r="Z48" s="267">
        <f t="shared" si="9"/>
        <v>0.0324</v>
      </c>
      <c r="AA48" s="267">
        <f t="shared" si="9"/>
        <v>0</v>
      </c>
      <c r="AB48" s="342">
        <f t="shared" si="7"/>
        <v>1.0318</v>
      </c>
      <c r="AC48" s="419"/>
      <c r="AD48" s="272"/>
      <c r="AE48" s="272"/>
      <c r="AF48" s="272"/>
      <c r="AG48" s="272"/>
    </row>
    <row r="49" spans="1:33">
      <c r="A49" s="266"/>
      <c r="B49" s="267">
        <f t="shared" ref="B49:AA49" si="10">(C12)*(C12)</f>
        <v>0.0484</v>
      </c>
      <c r="C49" s="267">
        <f t="shared" si="10"/>
        <v>0.0484</v>
      </c>
      <c r="D49" s="267">
        <f t="shared" si="10"/>
        <v>0.0361</v>
      </c>
      <c r="E49" s="267">
        <f t="shared" si="10"/>
        <v>0.0529</v>
      </c>
      <c r="F49" s="267">
        <f t="shared" si="10"/>
        <v>0.0324</v>
      </c>
      <c r="G49" s="267">
        <f t="shared" si="10"/>
        <v>0.04</v>
      </c>
      <c r="H49" s="267">
        <f t="shared" si="10"/>
        <v>0.0324</v>
      </c>
      <c r="I49" s="267">
        <f t="shared" si="10"/>
        <v>0.0529</v>
      </c>
      <c r="J49" s="267">
        <f t="shared" si="10"/>
        <v>0.0324</v>
      </c>
      <c r="K49" s="267">
        <f t="shared" si="10"/>
        <v>0.0324</v>
      </c>
      <c r="L49" s="267">
        <f t="shared" si="10"/>
        <v>0.04</v>
      </c>
      <c r="M49" s="267">
        <f t="shared" si="10"/>
        <v>0.04</v>
      </c>
      <c r="N49" s="267">
        <f t="shared" si="10"/>
        <v>0.0576</v>
      </c>
      <c r="O49" s="267">
        <f t="shared" si="10"/>
        <v>0.04</v>
      </c>
      <c r="P49" s="267">
        <f t="shared" si="10"/>
        <v>0.0361</v>
      </c>
      <c r="Q49" s="267">
        <f t="shared" si="10"/>
        <v>0.0256</v>
      </c>
      <c r="R49" s="267">
        <f t="shared" si="10"/>
        <v>0.04</v>
      </c>
      <c r="S49" s="267">
        <f t="shared" si="10"/>
        <v>0.04</v>
      </c>
      <c r="T49" s="267">
        <f t="shared" si="10"/>
        <v>0.0676</v>
      </c>
      <c r="U49" s="267">
        <f t="shared" si="10"/>
        <v>0.0256</v>
      </c>
      <c r="V49" s="267">
        <f t="shared" si="10"/>
        <v>0.0625</v>
      </c>
      <c r="W49" s="267">
        <f t="shared" si="10"/>
        <v>0.0484</v>
      </c>
      <c r="X49" s="267">
        <f t="shared" si="10"/>
        <v>0.0324</v>
      </c>
      <c r="Y49" s="267">
        <f t="shared" si="10"/>
        <v>0.04</v>
      </c>
      <c r="Z49" s="267">
        <f t="shared" si="10"/>
        <v>0.0289</v>
      </c>
      <c r="AA49" s="267">
        <f t="shared" si="10"/>
        <v>0</v>
      </c>
      <c r="AB49" s="342">
        <f t="shared" si="7"/>
        <v>1.033</v>
      </c>
      <c r="AC49" s="419"/>
      <c r="AD49" s="272"/>
      <c r="AE49" s="272"/>
      <c r="AF49" s="272"/>
      <c r="AG49" s="272"/>
    </row>
    <row r="50" spans="1:33">
      <c r="A50" s="266"/>
      <c r="B50" s="267">
        <f t="shared" ref="B50:AA50" si="11">(C13)*(C13)</f>
        <v>0.0576</v>
      </c>
      <c r="C50" s="267">
        <f t="shared" si="11"/>
        <v>0.04</v>
      </c>
      <c r="D50" s="267">
        <f t="shared" si="11"/>
        <v>0.0324</v>
      </c>
      <c r="E50" s="267">
        <f t="shared" si="11"/>
        <v>0.0256</v>
      </c>
      <c r="F50" s="267">
        <f t="shared" si="11"/>
        <v>0.0256</v>
      </c>
      <c r="G50" s="267">
        <f t="shared" si="11"/>
        <v>0.0361</v>
      </c>
      <c r="H50" s="267">
        <f t="shared" si="11"/>
        <v>0.0324</v>
      </c>
      <c r="I50" s="267">
        <f t="shared" si="11"/>
        <v>0.0484</v>
      </c>
      <c r="J50" s="267">
        <f t="shared" si="11"/>
        <v>0.0625</v>
      </c>
      <c r="K50" s="267">
        <f t="shared" si="11"/>
        <v>0.04</v>
      </c>
      <c r="L50" s="267">
        <f t="shared" si="11"/>
        <v>0.0484</v>
      </c>
      <c r="M50" s="267">
        <f t="shared" si="11"/>
        <v>0.0484</v>
      </c>
      <c r="N50" s="267">
        <f t="shared" si="11"/>
        <v>0.0361</v>
      </c>
      <c r="O50" s="267">
        <f t="shared" si="11"/>
        <v>0.0529</v>
      </c>
      <c r="P50" s="267">
        <f t="shared" si="11"/>
        <v>0.04</v>
      </c>
      <c r="Q50" s="267">
        <f t="shared" si="11"/>
        <v>0.0324</v>
      </c>
      <c r="R50" s="267">
        <f t="shared" si="11"/>
        <v>0.0484</v>
      </c>
      <c r="S50" s="267">
        <f t="shared" si="11"/>
        <v>0.0361</v>
      </c>
      <c r="T50" s="267">
        <f t="shared" si="11"/>
        <v>0.0625</v>
      </c>
      <c r="U50" s="267">
        <f t="shared" si="11"/>
        <v>0.0324</v>
      </c>
      <c r="V50" s="267">
        <f t="shared" si="11"/>
        <v>0.0361</v>
      </c>
      <c r="W50" s="267">
        <f t="shared" si="11"/>
        <v>0.0324</v>
      </c>
      <c r="X50" s="267">
        <f t="shared" si="11"/>
        <v>0.04</v>
      </c>
      <c r="Y50" s="267">
        <f t="shared" si="11"/>
        <v>0.04</v>
      </c>
      <c r="Z50" s="267">
        <f t="shared" si="11"/>
        <v>0.0361</v>
      </c>
      <c r="AA50" s="267">
        <f t="shared" si="11"/>
        <v>0</v>
      </c>
      <c r="AB50" s="342">
        <f t="shared" si="7"/>
        <v>1.0228</v>
      </c>
      <c r="AC50" s="419"/>
      <c r="AD50" s="272"/>
      <c r="AE50" s="272"/>
      <c r="AF50" s="272"/>
      <c r="AG50" s="272"/>
    </row>
    <row r="51" spans="1:33">
      <c r="A51" s="266"/>
      <c r="B51" s="267">
        <f t="shared" ref="B51:AA51" si="12">(C14)*(C14)</f>
        <v>0</v>
      </c>
      <c r="C51" s="267">
        <f t="shared" si="12"/>
        <v>0</v>
      </c>
      <c r="D51" s="267">
        <f t="shared" si="12"/>
        <v>0</v>
      </c>
      <c r="E51" s="267">
        <f t="shared" si="12"/>
        <v>0</v>
      </c>
      <c r="F51" s="267">
        <f t="shared" si="12"/>
        <v>0</v>
      </c>
      <c r="G51" s="267">
        <f t="shared" si="12"/>
        <v>0</v>
      </c>
      <c r="H51" s="267">
        <f t="shared" si="12"/>
        <v>0</v>
      </c>
      <c r="I51" s="267">
        <f t="shared" si="12"/>
        <v>0</v>
      </c>
      <c r="J51" s="267">
        <f t="shared" si="12"/>
        <v>0</v>
      </c>
      <c r="K51" s="267">
        <f t="shared" si="12"/>
        <v>0</v>
      </c>
      <c r="L51" s="267">
        <f t="shared" si="12"/>
        <v>0</v>
      </c>
      <c r="M51" s="267">
        <f t="shared" si="12"/>
        <v>0</v>
      </c>
      <c r="N51" s="267">
        <f t="shared" si="12"/>
        <v>0</v>
      </c>
      <c r="O51" s="267">
        <f t="shared" si="12"/>
        <v>0</v>
      </c>
      <c r="P51" s="267">
        <f t="shared" si="12"/>
        <v>0</v>
      </c>
      <c r="Q51" s="267">
        <f t="shared" si="12"/>
        <v>0</v>
      </c>
      <c r="R51" s="267">
        <f t="shared" si="12"/>
        <v>0</v>
      </c>
      <c r="S51" s="267">
        <f t="shared" si="12"/>
        <v>0</v>
      </c>
      <c r="T51" s="267">
        <f t="shared" si="12"/>
        <v>0</v>
      </c>
      <c r="U51" s="267">
        <f t="shared" si="12"/>
        <v>0</v>
      </c>
      <c r="V51" s="267">
        <f t="shared" si="12"/>
        <v>0</v>
      </c>
      <c r="W51" s="267">
        <f t="shared" si="12"/>
        <v>0</v>
      </c>
      <c r="X51" s="267">
        <f t="shared" si="12"/>
        <v>0</v>
      </c>
      <c r="Y51" s="267">
        <f t="shared" si="12"/>
        <v>0</v>
      </c>
      <c r="Z51" s="267">
        <f t="shared" si="12"/>
        <v>0</v>
      </c>
      <c r="AA51" s="267">
        <f t="shared" si="12"/>
        <v>0</v>
      </c>
      <c r="AB51" s="342">
        <f t="shared" si="7"/>
        <v>0</v>
      </c>
      <c r="AC51" s="419"/>
      <c r="AD51" s="272"/>
      <c r="AE51" s="272"/>
      <c r="AF51" s="272"/>
      <c r="AG51" s="272"/>
    </row>
    <row r="52" spans="1:33">
      <c r="A52" s="266" t="s">
        <v>2</v>
      </c>
      <c r="B52" s="270"/>
      <c r="C52" s="270"/>
      <c r="D52" s="270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63"/>
      <c r="AC52" s="419"/>
      <c r="AD52" s="272"/>
      <c r="AE52" s="272"/>
      <c r="AF52" s="272"/>
      <c r="AG52" s="272"/>
    </row>
    <row r="53" spans="1:33">
      <c r="A53" s="266" t="s">
        <v>72</v>
      </c>
      <c r="B53" s="267">
        <f t="shared" ref="B53:AA53" si="13">$S$4</f>
        <v>0.120692</v>
      </c>
      <c r="C53" s="267">
        <f t="shared" si="13"/>
        <v>0.120692</v>
      </c>
      <c r="D53" s="267">
        <f t="shared" si="13"/>
        <v>0.120692</v>
      </c>
      <c r="E53" s="267">
        <f t="shared" si="13"/>
        <v>0.120692</v>
      </c>
      <c r="F53" s="267">
        <f t="shared" si="13"/>
        <v>0.120692</v>
      </c>
      <c r="G53" s="267">
        <f t="shared" si="13"/>
        <v>0.120692</v>
      </c>
      <c r="H53" s="267">
        <f t="shared" si="13"/>
        <v>0.120692</v>
      </c>
      <c r="I53" s="267">
        <f t="shared" si="13"/>
        <v>0.120692</v>
      </c>
      <c r="J53" s="267">
        <f t="shared" si="13"/>
        <v>0.120692</v>
      </c>
      <c r="K53" s="267">
        <f t="shared" si="13"/>
        <v>0.120692</v>
      </c>
      <c r="L53" s="267">
        <f t="shared" si="13"/>
        <v>0.120692</v>
      </c>
      <c r="M53" s="267">
        <f t="shared" si="13"/>
        <v>0.120692</v>
      </c>
      <c r="N53" s="267">
        <f t="shared" si="13"/>
        <v>0.120692</v>
      </c>
      <c r="O53" s="267">
        <f t="shared" si="13"/>
        <v>0.120692</v>
      </c>
      <c r="P53" s="267">
        <f t="shared" si="13"/>
        <v>0.120692</v>
      </c>
      <c r="Q53" s="267">
        <f t="shared" si="13"/>
        <v>0.120692</v>
      </c>
      <c r="R53" s="267">
        <f t="shared" si="13"/>
        <v>0.120692</v>
      </c>
      <c r="S53" s="267">
        <f t="shared" si="13"/>
        <v>0.120692</v>
      </c>
      <c r="T53" s="267">
        <f t="shared" si="13"/>
        <v>0.120692</v>
      </c>
      <c r="U53" s="267">
        <f t="shared" si="13"/>
        <v>0.120692</v>
      </c>
      <c r="V53" s="267">
        <f t="shared" si="13"/>
        <v>0.120692</v>
      </c>
      <c r="W53" s="267">
        <f t="shared" si="13"/>
        <v>0.120692</v>
      </c>
      <c r="X53" s="267">
        <f t="shared" si="13"/>
        <v>0.120692</v>
      </c>
      <c r="Y53" s="267">
        <f t="shared" si="13"/>
        <v>0.120692</v>
      </c>
      <c r="Z53" s="267">
        <f t="shared" si="13"/>
        <v>0.120692</v>
      </c>
      <c r="AA53" s="267">
        <f t="shared" si="13"/>
        <v>0.120692</v>
      </c>
      <c r="AB53" s="263"/>
      <c r="AC53" s="419"/>
      <c r="AD53" s="272"/>
      <c r="AE53" s="272"/>
      <c r="AF53" s="272"/>
      <c r="AG53" s="272"/>
    </row>
    <row r="54" spans="1:33">
      <c r="A54" s="266" t="s">
        <v>73</v>
      </c>
      <c r="B54" s="268">
        <f t="shared" ref="B54:AA54" si="14">$S$5</f>
        <v>0.0572</v>
      </c>
      <c r="C54" s="268">
        <f t="shared" si="14"/>
        <v>0.0572</v>
      </c>
      <c r="D54" s="268">
        <f t="shared" si="14"/>
        <v>0.0572</v>
      </c>
      <c r="E54" s="268">
        <f t="shared" si="14"/>
        <v>0.0572</v>
      </c>
      <c r="F54" s="268">
        <f t="shared" si="14"/>
        <v>0.0572</v>
      </c>
      <c r="G54" s="268">
        <f t="shared" si="14"/>
        <v>0.0572</v>
      </c>
      <c r="H54" s="268">
        <f t="shared" si="14"/>
        <v>0.0572</v>
      </c>
      <c r="I54" s="268">
        <f t="shared" si="14"/>
        <v>0.0572</v>
      </c>
      <c r="J54" s="268">
        <f t="shared" si="14"/>
        <v>0.0572</v>
      </c>
      <c r="K54" s="268">
        <f t="shared" si="14"/>
        <v>0.0572</v>
      </c>
      <c r="L54" s="268">
        <f t="shared" si="14"/>
        <v>0.0572</v>
      </c>
      <c r="M54" s="268">
        <f t="shared" si="14"/>
        <v>0.0572</v>
      </c>
      <c r="N54" s="268">
        <f t="shared" si="14"/>
        <v>0.0572</v>
      </c>
      <c r="O54" s="268">
        <f t="shared" si="14"/>
        <v>0.0572</v>
      </c>
      <c r="P54" s="268">
        <f t="shared" si="14"/>
        <v>0.0572</v>
      </c>
      <c r="Q54" s="268">
        <f t="shared" si="14"/>
        <v>0.0572</v>
      </c>
      <c r="R54" s="268">
        <f t="shared" si="14"/>
        <v>0.0572</v>
      </c>
      <c r="S54" s="268">
        <f t="shared" si="14"/>
        <v>0.0572</v>
      </c>
      <c r="T54" s="268">
        <f t="shared" si="14"/>
        <v>0.0572</v>
      </c>
      <c r="U54" s="268">
        <f t="shared" si="14"/>
        <v>0.0572</v>
      </c>
      <c r="V54" s="268">
        <f t="shared" si="14"/>
        <v>0.0572</v>
      </c>
      <c r="W54" s="268">
        <f t="shared" si="14"/>
        <v>0.0572</v>
      </c>
      <c r="X54" s="268">
        <f t="shared" si="14"/>
        <v>0.0572</v>
      </c>
      <c r="Y54" s="268">
        <f t="shared" si="14"/>
        <v>0.0572</v>
      </c>
      <c r="Z54" s="268">
        <f t="shared" si="14"/>
        <v>0.0572</v>
      </c>
      <c r="AA54" s="268">
        <f t="shared" si="14"/>
        <v>0.0572</v>
      </c>
      <c r="AB54" s="263"/>
      <c r="AC54" s="419"/>
      <c r="AD54" s="272"/>
      <c r="AE54" s="272"/>
      <c r="AF54" s="272"/>
      <c r="AG54" s="272"/>
    </row>
    <row r="55" spans="1:33">
      <c r="A55" s="266" t="s">
        <v>74</v>
      </c>
      <c r="B55" s="269">
        <f t="shared" ref="B55:AA55" si="15">$S$6</f>
        <v>0</v>
      </c>
      <c r="C55" s="269">
        <f t="shared" si="15"/>
        <v>0</v>
      </c>
      <c r="D55" s="269">
        <f t="shared" si="15"/>
        <v>0</v>
      </c>
      <c r="E55" s="269">
        <f t="shared" si="15"/>
        <v>0</v>
      </c>
      <c r="F55" s="269">
        <f t="shared" si="15"/>
        <v>0</v>
      </c>
      <c r="G55" s="269">
        <f t="shared" si="15"/>
        <v>0</v>
      </c>
      <c r="H55" s="269">
        <f t="shared" si="15"/>
        <v>0</v>
      </c>
      <c r="I55" s="269">
        <f t="shared" si="15"/>
        <v>0</v>
      </c>
      <c r="J55" s="269">
        <f t="shared" si="15"/>
        <v>0</v>
      </c>
      <c r="K55" s="269">
        <f t="shared" si="15"/>
        <v>0</v>
      </c>
      <c r="L55" s="269">
        <f t="shared" si="15"/>
        <v>0</v>
      </c>
      <c r="M55" s="269">
        <f t="shared" si="15"/>
        <v>0</v>
      </c>
      <c r="N55" s="269">
        <f t="shared" si="15"/>
        <v>0</v>
      </c>
      <c r="O55" s="269">
        <f t="shared" si="15"/>
        <v>0</v>
      </c>
      <c r="P55" s="269">
        <f t="shared" si="15"/>
        <v>0</v>
      </c>
      <c r="Q55" s="269">
        <f t="shared" si="15"/>
        <v>0</v>
      </c>
      <c r="R55" s="269">
        <f t="shared" si="15"/>
        <v>0</v>
      </c>
      <c r="S55" s="269">
        <f t="shared" si="15"/>
        <v>0</v>
      </c>
      <c r="T55" s="269">
        <f t="shared" si="15"/>
        <v>0</v>
      </c>
      <c r="U55" s="269">
        <f t="shared" si="15"/>
        <v>0</v>
      </c>
      <c r="V55" s="269">
        <f t="shared" si="15"/>
        <v>0</v>
      </c>
      <c r="W55" s="269">
        <f t="shared" si="15"/>
        <v>0</v>
      </c>
      <c r="X55" s="269">
        <f t="shared" si="15"/>
        <v>0</v>
      </c>
      <c r="Y55" s="269">
        <f t="shared" si="15"/>
        <v>0</v>
      </c>
      <c r="Z55" s="269">
        <f t="shared" si="15"/>
        <v>0</v>
      </c>
      <c r="AA55" s="269">
        <f t="shared" si="15"/>
        <v>0</v>
      </c>
      <c r="AB55" s="263"/>
      <c r="AC55" s="419"/>
      <c r="AD55" s="272"/>
      <c r="AE55" s="272"/>
      <c r="AF55" s="272"/>
      <c r="AG55" s="272"/>
    </row>
    <row r="56" spans="1:33">
      <c r="A56" s="266"/>
      <c r="B56" s="270"/>
      <c r="C56" s="270"/>
      <c r="D56" s="270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63"/>
      <c r="AC56" s="419"/>
      <c r="AD56" s="272"/>
      <c r="AE56" s="272"/>
      <c r="AF56" s="272"/>
      <c r="AG56" s="272"/>
    </row>
    <row r="57" spans="1:33">
      <c r="A57" s="266" t="s">
        <v>75</v>
      </c>
      <c r="B57" s="271">
        <f t="shared" ref="B57:AA57" si="16">$K$4</f>
        <v>0.3</v>
      </c>
      <c r="C57" s="271">
        <f t="shared" si="16"/>
        <v>0.3</v>
      </c>
      <c r="D57" s="271">
        <f t="shared" si="16"/>
        <v>0.3</v>
      </c>
      <c r="E57" s="271">
        <f t="shared" si="16"/>
        <v>0.3</v>
      </c>
      <c r="F57" s="271">
        <f t="shared" si="16"/>
        <v>0.3</v>
      </c>
      <c r="G57" s="271">
        <f t="shared" si="16"/>
        <v>0.3</v>
      </c>
      <c r="H57" s="271">
        <f t="shared" si="16"/>
        <v>0.3</v>
      </c>
      <c r="I57" s="271">
        <f t="shared" si="16"/>
        <v>0.3</v>
      </c>
      <c r="J57" s="271">
        <f t="shared" si="16"/>
        <v>0.3</v>
      </c>
      <c r="K57" s="271">
        <f t="shared" si="16"/>
        <v>0.3</v>
      </c>
      <c r="L57" s="271">
        <f t="shared" si="16"/>
        <v>0.3</v>
      </c>
      <c r="M57" s="271">
        <f t="shared" si="16"/>
        <v>0.3</v>
      </c>
      <c r="N57" s="271">
        <f t="shared" si="16"/>
        <v>0.3</v>
      </c>
      <c r="O57" s="271">
        <f t="shared" si="16"/>
        <v>0.3</v>
      </c>
      <c r="P57" s="271">
        <f t="shared" si="16"/>
        <v>0.3</v>
      </c>
      <c r="Q57" s="271">
        <f t="shared" si="16"/>
        <v>0.3</v>
      </c>
      <c r="R57" s="271">
        <f t="shared" si="16"/>
        <v>0.3</v>
      </c>
      <c r="S57" s="271">
        <f t="shared" si="16"/>
        <v>0.3</v>
      </c>
      <c r="T57" s="271">
        <f t="shared" si="16"/>
        <v>0.3</v>
      </c>
      <c r="U57" s="271">
        <f t="shared" si="16"/>
        <v>0.3</v>
      </c>
      <c r="V57" s="271">
        <f t="shared" si="16"/>
        <v>0.3</v>
      </c>
      <c r="W57" s="271">
        <f t="shared" si="16"/>
        <v>0.3</v>
      </c>
      <c r="X57" s="271">
        <f t="shared" si="16"/>
        <v>0.3</v>
      </c>
      <c r="Y57" s="271">
        <f t="shared" si="16"/>
        <v>0.3</v>
      </c>
      <c r="Z57" s="271">
        <f t="shared" si="16"/>
        <v>0.3</v>
      </c>
      <c r="AA57" s="271">
        <f t="shared" si="16"/>
        <v>0.3</v>
      </c>
      <c r="AB57" s="263"/>
      <c r="AC57" s="419"/>
      <c r="AD57" s="272"/>
      <c r="AE57" s="272"/>
      <c r="AF57" s="272"/>
      <c r="AG57" s="272"/>
    </row>
    <row r="58" spans="1:33">
      <c r="A58" s="266" t="s">
        <v>76</v>
      </c>
      <c r="B58" s="271">
        <f t="shared" ref="B58:AA58" si="17">$K$6</f>
        <v>0</v>
      </c>
      <c r="C58" s="271">
        <f t="shared" si="17"/>
        <v>0</v>
      </c>
      <c r="D58" s="271">
        <f t="shared" si="17"/>
        <v>0</v>
      </c>
      <c r="E58" s="271">
        <f t="shared" si="17"/>
        <v>0</v>
      </c>
      <c r="F58" s="271">
        <f t="shared" si="17"/>
        <v>0</v>
      </c>
      <c r="G58" s="271">
        <f t="shared" si="17"/>
        <v>0</v>
      </c>
      <c r="H58" s="271">
        <f t="shared" si="17"/>
        <v>0</v>
      </c>
      <c r="I58" s="271">
        <f t="shared" si="17"/>
        <v>0</v>
      </c>
      <c r="J58" s="271">
        <f t="shared" si="17"/>
        <v>0</v>
      </c>
      <c r="K58" s="271">
        <f t="shared" si="17"/>
        <v>0</v>
      </c>
      <c r="L58" s="271">
        <f t="shared" si="17"/>
        <v>0</v>
      </c>
      <c r="M58" s="271">
        <f t="shared" si="17"/>
        <v>0</v>
      </c>
      <c r="N58" s="271">
        <f t="shared" si="17"/>
        <v>0</v>
      </c>
      <c r="O58" s="271">
        <f t="shared" si="17"/>
        <v>0</v>
      </c>
      <c r="P58" s="271">
        <f t="shared" si="17"/>
        <v>0</v>
      </c>
      <c r="Q58" s="271">
        <f t="shared" si="17"/>
        <v>0</v>
      </c>
      <c r="R58" s="271">
        <f t="shared" si="17"/>
        <v>0</v>
      </c>
      <c r="S58" s="271">
        <f t="shared" si="17"/>
        <v>0</v>
      </c>
      <c r="T58" s="271">
        <f t="shared" si="17"/>
        <v>0</v>
      </c>
      <c r="U58" s="271">
        <f t="shared" si="17"/>
        <v>0</v>
      </c>
      <c r="V58" s="271">
        <f t="shared" si="17"/>
        <v>0</v>
      </c>
      <c r="W58" s="271">
        <f t="shared" si="17"/>
        <v>0</v>
      </c>
      <c r="X58" s="271">
        <f t="shared" si="17"/>
        <v>0</v>
      </c>
      <c r="Y58" s="271">
        <f t="shared" si="17"/>
        <v>0</v>
      </c>
      <c r="Z58" s="271">
        <f t="shared" si="17"/>
        <v>0</v>
      </c>
      <c r="AA58" s="271">
        <f t="shared" si="17"/>
        <v>0</v>
      </c>
      <c r="AB58" s="263"/>
      <c r="AC58" s="419"/>
      <c r="AD58" s="272"/>
      <c r="AE58" s="272"/>
      <c r="AF58" s="272"/>
      <c r="AG58" s="272"/>
    </row>
    <row r="59" spans="1:33">
      <c r="A59" s="263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63"/>
      <c r="AC59" s="419"/>
      <c r="AD59" s="272"/>
      <c r="AE59" s="272"/>
      <c r="AF59" s="272"/>
      <c r="AG59" s="272"/>
    </row>
    <row r="60" spans="1:33">
      <c r="A60" s="27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</row>
    <row r="61" spans="1:33">
      <c r="A61" s="272"/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</row>
    <row r="62" spans="1:33">
      <c r="A62" s="272"/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</row>
    <row r="63" spans="1:33">
      <c r="A63" s="272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</row>
    <row r="64" spans="1:33">
      <c r="A64" s="272"/>
      <c r="B64" s="272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</row>
    <row r="65" spans="1:33">
      <c r="A65" s="272"/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</row>
    <row r="66" spans="1:33">
      <c r="A66" s="272"/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</row>
    <row r="67" spans="1:33">
      <c r="A67" s="272"/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</row>
    <row r="68" spans="1:33">
      <c r="A68" s="272"/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</row>
    <row r="69" spans="1:33">
      <c r="A69" s="272"/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</row>
    <row r="70" spans="1:33">
      <c r="A70" s="272"/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</row>
    <row r="71" spans="1:33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</row>
    <row r="72" spans="1:33">
      <c r="A72" s="272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</row>
    <row r="73" spans="1:33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</row>
    <row r="74" spans="1:33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</row>
    <row r="75" spans="1:33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</row>
    <row r="76" spans="1:33">
      <c r="A76" s="272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</row>
    <row r="77" spans="1:33">
      <c r="A77" s="272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</row>
    <row r="78" spans="1:33">
      <c r="A78" s="272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</row>
    <row r="79" spans="1:33">
      <c r="A79" s="272"/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</row>
    <row r="80" spans="1:33">
      <c r="A80" s="272"/>
      <c r="B80" s="272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</row>
    <row r="81" spans="1:33">
      <c r="A81" s="272"/>
      <c r="B81" s="272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</row>
    <row r="82" spans="1:33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</row>
    <row r="83" spans="1:33">
      <c r="A83" s="272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</row>
    <row r="84" spans="1:33">
      <c r="A84" s="272"/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</row>
    <row r="85" spans="1:33">
      <c r="A85" s="272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</row>
    <row r="86" spans="1:33">
      <c r="A86" s="272"/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</row>
    <row r="87" spans="1:33">
      <c r="A87" s="272"/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</row>
    <row r="88" spans="1:33">
      <c r="A88" s="272"/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</row>
    <row r="89" spans="1:33">
      <c r="A89" s="420"/>
      <c r="B89" s="420"/>
      <c r="C89" s="420"/>
      <c r="D89" s="420"/>
      <c r="E89" s="420"/>
      <c r="F89" s="420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</row>
    <row r="90" spans="1:33">
      <c r="A90" s="421"/>
      <c r="B90" s="422"/>
      <c r="C90" s="423"/>
      <c r="D90" s="423"/>
      <c r="E90" s="423"/>
      <c r="F90" s="420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</row>
    <row r="91" spans="1:33">
      <c r="A91" s="423"/>
      <c r="B91" s="423"/>
      <c r="C91" s="423"/>
      <c r="D91" s="423"/>
      <c r="E91" s="423"/>
      <c r="F91" s="420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</row>
    <row r="92" spans="1:33">
      <c r="A92" s="423"/>
      <c r="B92" s="423"/>
      <c r="C92" s="423"/>
      <c r="D92" s="423"/>
      <c r="E92" s="423"/>
      <c r="F92" s="420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</row>
    <row r="93" spans="1:33">
      <c r="A93" s="423"/>
      <c r="B93" s="423"/>
      <c r="C93" s="423"/>
      <c r="D93" s="423"/>
      <c r="E93" s="423"/>
      <c r="F93" s="420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</row>
    <row r="94" spans="1:6">
      <c r="A94" s="423"/>
      <c r="B94" s="423"/>
      <c r="C94" s="423"/>
      <c r="D94" s="423"/>
      <c r="E94" s="423"/>
      <c r="F94" s="427"/>
    </row>
    <row r="95" spans="1:6">
      <c r="A95" s="423"/>
      <c r="B95" s="423"/>
      <c r="C95" s="423"/>
      <c r="D95" s="423"/>
      <c r="E95" s="423"/>
      <c r="F95" s="427"/>
    </row>
    <row r="96" spans="1:6">
      <c r="A96" s="423"/>
      <c r="B96" s="423"/>
      <c r="C96" s="423"/>
      <c r="D96" s="423"/>
      <c r="E96" s="423"/>
      <c r="F96" s="427"/>
    </row>
    <row r="97" spans="1:6">
      <c r="A97" s="423"/>
      <c r="B97" s="423"/>
      <c r="C97" s="423"/>
      <c r="D97" s="423"/>
      <c r="E97" s="423"/>
      <c r="F97" s="427"/>
    </row>
    <row r="98" spans="1:6">
      <c r="A98" s="423"/>
      <c r="B98" s="423"/>
      <c r="C98" s="423"/>
      <c r="D98" s="423"/>
      <c r="E98" s="423"/>
      <c r="F98" s="427"/>
    </row>
    <row r="99" spans="1:6">
      <c r="A99" s="423"/>
      <c r="B99" s="423"/>
      <c r="C99" s="423"/>
      <c r="D99" s="423"/>
      <c r="E99" s="423"/>
      <c r="F99" s="427"/>
    </row>
    <row r="100" spans="1:6">
      <c r="A100" s="423"/>
      <c r="B100" s="423"/>
      <c r="C100" s="423"/>
      <c r="D100" s="423"/>
      <c r="E100" s="423"/>
      <c r="F100" s="427"/>
    </row>
    <row r="101" spans="1:6">
      <c r="A101" s="423"/>
      <c r="B101" s="423"/>
      <c r="C101" s="423"/>
      <c r="D101" s="423"/>
      <c r="E101" s="423"/>
      <c r="F101" s="427"/>
    </row>
    <row r="102" s="196" customFormat="1" spans="1:6">
      <c r="A102" s="424"/>
      <c r="B102" s="424"/>
      <c r="C102" s="424"/>
      <c r="D102" s="424"/>
      <c r="E102" s="424"/>
      <c r="F102" s="426"/>
    </row>
    <row r="103" s="196" customFormat="1" spans="1:6">
      <c r="A103" s="424"/>
      <c r="B103" s="424"/>
      <c r="C103" s="424"/>
      <c r="D103" s="424"/>
      <c r="E103" s="424"/>
      <c r="F103" s="426"/>
    </row>
    <row r="104" s="196" customFormat="1" spans="1:6">
      <c r="A104" s="424"/>
      <c r="B104" s="424"/>
      <c r="C104" s="424"/>
      <c r="D104" s="424"/>
      <c r="E104" s="424"/>
      <c r="F104" s="426"/>
    </row>
    <row r="105" s="196" customFormat="1" spans="1:6">
      <c r="A105" s="425"/>
      <c r="B105" s="425"/>
      <c r="C105" s="425"/>
      <c r="D105" s="425"/>
      <c r="E105" s="425"/>
      <c r="F105" s="426"/>
    </row>
    <row r="106" s="196" customFormat="1" spans="1:6">
      <c r="A106" s="425"/>
      <c r="B106" s="425"/>
      <c r="C106" s="425"/>
      <c r="D106" s="425"/>
      <c r="E106" s="425"/>
      <c r="F106" s="426"/>
    </row>
    <row r="107" s="196" customFormat="1" spans="1:6">
      <c r="A107" s="426"/>
      <c r="B107" s="426"/>
      <c r="C107" s="426"/>
      <c r="D107" s="426"/>
      <c r="E107" s="426"/>
      <c r="F107" s="426"/>
    </row>
    <row r="108" s="196" customFormat="1"/>
    <row r="109" s="196" customFormat="1"/>
    <row r="110" s="196" customFormat="1"/>
    <row r="111" s="196" customFormat="1"/>
    <row r="112" s="196" customFormat="1"/>
    <row r="113" s="196" customFormat="1"/>
    <row r="114" s="196" customFormat="1"/>
    <row r="115" s="196" customFormat="1"/>
    <row r="116" s="196" customFormat="1"/>
    <row r="117" s="196" customFormat="1"/>
    <row r="118" s="196" customFormat="1"/>
    <row r="119" s="196" customFormat="1"/>
    <row r="120" s="196" customFormat="1"/>
    <row r="121" s="196" customFormat="1"/>
    <row r="122" s="196" customFormat="1"/>
    <row r="123" s="196" customFormat="1"/>
    <row r="124" s="196" customFormat="1"/>
    <row r="125" s="196" customFormat="1"/>
    <row r="126" s="196" customFormat="1"/>
    <row r="127" s="196" customFormat="1"/>
    <row r="128" s="196" customFormat="1"/>
    <row r="129" s="196" customFormat="1"/>
    <row r="130" s="196" customFormat="1"/>
    <row r="131" s="196" customFormat="1"/>
    <row r="132" s="196" customFormat="1"/>
    <row r="133" s="196" customFormat="1"/>
    <row r="134" s="196" customFormat="1"/>
    <row r="135" s="196" customFormat="1"/>
    <row r="136" s="196" customFormat="1"/>
    <row r="137" s="196" customFormat="1"/>
    <row r="138" s="196" customFormat="1"/>
    <row r="139" s="196" customFormat="1"/>
    <row r="140" s="196" customFormat="1"/>
    <row r="141" s="196" customFormat="1"/>
    <row r="142" s="196" customFormat="1"/>
    <row r="143" s="196" customFormat="1"/>
    <row r="144" s="196" customFormat="1"/>
    <row r="145" s="196" customFormat="1"/>
    <row r="146" s="196" customFormat="1"/>
    <row r="147" s="196" customFormat="1"/>
    <row r="148" s="196" customFormat="1"/>
    <row r="149" s="196" customFormat="1"/>
    <row r="150" s="196" customFormat="1"/>
    <row r="151" s="196" customFormat="1"/>
    <row r="152" s="196" customFormat="1"/>
    <row r="153" s="196" customFormat="1"/>
    <row r="154" s="196" customFormat="1"/>
    <row r="155" s="196" customFormat="1"/>
    <row r="156" s="196" customFormat="1"/>
    <row r="157" s="196" customFormat="1"/>
    <row r="158" s="196" customFormat="1"/>
    <row r="159" s="196" customFormat="1"/>
    <row r="160" s="196" customFormat="1"/>
    <row r="161" s="196" customFormat="1"/>
    <row r="162" s="196" customFormat="1"/>
    <row r="163" s="196" customFormat="1"/>
    <row r="164" s="196" customFormat="1"/>
    <row r="165" s="196" customFormat="1"/>
    <row r="166" s="196" customFormat="1"/>
    <row r="167" s="196" customFormat="1"/>
    <row r="168" s="196" customFormat="1"/>
    <row r="169" s="196" customFormat="1"/>
    <row r="170" s="196" customFormat="1"/>
    <row r="171" s="196" customFormat="1"/>
    <row r="172" s="196" customFormat="1"/>
    <row r="173" s="196" customFormat="1"/>
    <row r="174" s="196" customFormat="1"/>
    <row r="175" s="196" customFormat="1"/>
    <row r="176" s="196" customFormat="1"/>
    <row r="177" s="196" customFormat="1"/>
    <row r="178" s="196" customFormat="1"/>
    <row r="179" s="196" customFormat="1"/>
    <row r="180" s="196" customFormat="1"/>
    <row r="181" s="196" customFormat="1"/>
    <row r="182" s="196" customFormat="1"/>
    <row r="183" s="196" customFormat="1"/>
    <row r="184" s="196" customFormat="1"/>
    <row r="185" s="196" customFormat="1"/>
    <row r="186" s="196" customFormat="1"/>
    <row r="187" s="196" customFormat="1"/>
    <row r="188" s="196" customFormat="1"/>
    <row r="189" s="196" customFormat="1"/>
    <row r="190" s="196" customFormat="1"/>
    <row r="191" s="196" customFormat="1"/>
    <row r="192" s="196" customFormat="1"/>
    <row r="193" s="196" customFormat="1"/>
    <row r="194" s="196" customFormat="1"/>
    <row r="195" s="196" customFormat="1"/>
    <row r="196" s="196" customFormat="1"/>
    <row r="197" s="196" customFormat="1"/>
    <row r="198" s="196" customFormat="1"/>
    <row r="199" s="196" customFormat="1"/>
    <row r="200" s="196" customFormat="1"/>
    <row r="201" s="196" customFormat="1"/>
    <row r="202" s="196" customFormat="1"/>
    <row r="203" s="196" customFormat="1"/>
    <row r="204" s="196" customFormat="1"/>
    <row r="205" s="196" customFormat="1"/>
    <row r="206" s="196" customFormat="1"/>
    <row r="207" s="196" customFormat="1"/>
    <row r="208" s="196" customFormat="1"/>
    <row r="209" s="196" customFormat="1"/>
    <row r="210" s="196" customFormat="1"/>
    <row r="211" s="196" customFormat="1"/>
    <row r="212" s="196" customFormat="1"/>
    <row r="213" s="196" customFormat="1"/>
    <row r="214" s="196" customFormat="1"/>
    <row r="215" s="196" customFormat="1"/>
    <row r="216" s="196" customFormat="1"/>
    <row r="217" s="196" customFormat="1"/>
    <row r="218" s="196" customFormat="1"/>
    <row r="219" s="196" customFormat="1"/>
    <row r="220" s="196" customFormat="1"/>
    <row r="221" s="196" customFormat="1"/>
    <row r="222" s="196" customFormat="1"/>
    <row r="223" s="196" customFormat="1"/>
    <row r="224" s="196" customFormat="1"/>
    <row r="225" s="196" customFormat="1"/>
    <row r="226" s="196" customFormat="1"/>
    <row r="227" s="196" customFormat="1"/>
    <row r="228" s="196" customFormat="1"/>
    <row r="229" s="196" customFormat="1"/>
    <row r="230" s="196" customFormat="1"/>
    <row r="231" s="196" customFormat="1"/>
    <row r="232" s="196" customFormat="1"/>
    <row r="233" s="196" customFormat="1"/>
    <row r="234" s="196" customFormat="1"/>
    <row r="235" s="196" customFormat="1"/>
    <row r="236" s="196" customFormat="1"/>
    <row r="237" s="196" customFormat="1"/>
    <row r="238" s="196" customFormat="1"/>
    <row r="239" s="196" customFormat="1"/>
    <row r="240" s="196" customFormat="1"/>
    <row r="241" s="196" customFormat="1"/>
    <row r="242" s="196" customFormat="1"/>
    <row r="243" s="196" customFormat="1"/>
    <row r="244" s="196" customFormat="1"/>
    <row r="245" s="196" customFormat="1"/>
    <row r="246" s="196" customFormat="1"/>
    <row r="247" s="196" customFormat="1"/>
    <row r="248" s="196" customFormat="1"/>
    <row r="249" s="196" customFormat="1"/>
    <row r="250" s="196" customFormat="1"/>
    <row r="251" s="196" customFormat="1"/>
    <row r="252" s="196" customFormat="1"/>
    <row r="253" s="196" customFormat="1"/>
    <row r="254" s="196" customFormat="1"/>
    <row r="255" s="196" customFormat="1"/>
    <row r="256" s="196" customFormat="1"/>
    <row r="257" s="196" customFormat="1"/>
    <row r="258" s="196" customFormat="1"/>
    <row r="259" s="196" customFormat="1"/>
    <row r="260" s="196" customFormat="1"/>
    <row r="261" s="196" customFormat="1"/>
    <row r="262" s="196" customFormat="1"/>
    <row r="263" s="196" customFormat="1"/>
    <row r="264" s="196" customFormat="1"/>
    <row r="265" s="196" customFormat="1"/>
    <row r="266" s="196" customFormat="1"/>
    <row r="267" s="196" customFormat="1"/>
    <row r="268" s="196" customFormat="1"/>
    <row r="269" s="196" customFormat="1"/>
    <row r="270" s="196" customFormat="1"/>
    <row r="271" s="196" customFormat="1"/>
    <row r="272" s="196" customFormat="1"/>
    <row r="273" s="196" customFormat="1"/>
    <row r="274" s="196" customFormat="1"/>
    <row r="275" s="196" customFormat="1"/>
    <row r="276" s="196" customFormat="1"/>
    <row r="277" s="196" customFormat="1"/>
    <row r="278" s="196" customFormat="1"/>
    <row r="279" s="196" customFormat="1"/>
    <row r="280" s="196" customFormat="1"/>
    <row r="281" s="196" customFormat="1"/>
    <row r="282" s="196" customFormat="1"/>
    <row r="283" s="196" customFormat="1"/>
    <row r="284" s="196" customFormat="1"/>
    <row r="285" s="196" customFormat="1"/>
    <row r="286" s="196" customFormat="1"/>
    <row r="287" s="196" customFormat="1"/>
    <row r="288" s="196" customFormat="1"/>
    <row r="289" s="196" customFormat="1"/>
    <row r="290" s="196" customFormat="1"/>
    <row r="291" s="196" customFormat="1"/>
    <row r="292" s="196" customFormat="1"/>
    <row r="293" s="196" customFormat="1"/>
    <row r="294" s="196" customFormat="1"/>
    <row r="295" s="196" customFormat="1"/>
    <row r="296" s="196" customFormat="1"/>
    <row r="297" s="196" customFormat="1"/>
    <row r="298" s="196" customFormat="1"/>
    <row r="299" s="196" customFormat="1"/>
    <row r="300" s="196" customFormat="1"/>
    <row r="301" s="196" customFormat="1"/>
    <row r="302" s="196" customFormat="1"/>
    <row r="303" s="196" customFormat="1"/>
    <row r="304" s="196" customFormat="1"/>
    <row r="305" s="196" customFormat="1"/>
    <row r="306" s="196" customFormat="1"/>
    <row r="307" s="196" customFormat="1"/>
    <row r="308" s="196" customFormat="1"/>
    <row r="309" s="196" customFormat="1"/>
    <row r="310" s="196" customFormat="1"/>
    <row r="311" s="196" customFormat="1"/>
    <row r="312" s="196" customFormat="1"/>
    <row r="313" s="196" customFormat="1"/>
    <row r="314" s="196" customFormat="1"/>
    <row r="315" s="196" customFormat="1"/>
    <row r="316" s="196" customFormat="1"/>
    <row r="317" s="196" customFormat="1"/>
    <row r="318" s="196" customFormat="1"/>
    <row r="319" s="196" customFormat="1"/>
    <row r="320" s="196" customFormat="1"/>
    <row r="321" s="196" customFormat="1"/>
    <row r="322" s="196" customFormat="1"/>
    <row r="323" s="196" customFormat="1"/>
    <row r="324" s="196" customFormat="1"/>
    <row r="325" s="196" customFormat="1"/>
    <row r="326" s="196" customFormat="1"/>
    <row r="327" s="196" customFormat="1"/>
    <row r="328" s="196" customFormat="1"/>
    <row r="329" s="196" customFormat="1"/>
    <row r="330" s="196" customFormat="1"/>
    <row r="331" s="196" customFormat="1"/>
    <row r="332" s="196" customFormat="1"/>
    <row r="333" s="196" customFormat="1"/>
    <row r="334" s="196" customFormat="1"/>
    <row r="335" s="196" customFormat="1"/>
    <row r="336" s="196" customFormat="1"/>
    <row r="337" s="196" customFormat="1"/>
    <row r="338" s="196" customFormat="1"/>
    <row r="339" s="196" customFormat="1"/>
    <row r="340" s="196" customFormat="1"/>
    <row r="341" s="196" customFormat="1"/>
    <row r="342" s="196" customFormat="1"/>
    <row r="343" s="196" customFormat="1"/>
    <row r="344" s="196" customFormat="1"/>
    <row r="345" s="196" customFormat="1"/>
    <row r="346" s="196" customFormat="1"/>
    <row r="347" s="196" customFormat="1"/>
    <row r="348" s="196" customFormat="1"/>
    <row r="349" s="196" customFormat="1"/>
    <row r="350" s="196" customFormat="1"/>
    <row r="351" s="196" customFormat="1"/>
    <row r="352" s="196" customFormat="1"/>
    <row r="353" s="196" customFormat="1"/>
    <row r="354" s="196" customFormat="1"/>
    <row r="355" s="196" customFormat="1"/>
    <row r="356" s="196" customFormat="1"/>
    <row r="357" s="196" customFormat="1"/>
    <row r="358" s="196" customFormat="1"/>
    <row r="359" s="196" customFormat="1"/>
    <row r="360" s="196" customFormat="1"/>
    <row r="361" s="196" customFormat="1"/>
    <row r="362" s="196" customFormat="1"/>
    <row r="363" s="196" customFormat="1"/>
    <row r="364" s="196" customFormat="1"/>
    <row r="365" s="196" customFormat="1"/>
    <row r="366" s="196" customFormat="1"/>
    <row r="367" s="196" customFormat="1"/>
    <row r="368" s="196" customFormat="1"/>
    <row r="369" s="196" customFormat="1"/>
    <row r="370" s="196" customFormat="1"/>
    <row r="371" s="196" customFormat="1"/>
    <row r="372" s="196" customFormat="1"/>
    <row r="373" s="196" customFormat="1"/>
    <row r="374" s="196" customFormat="1"/>
    <row r="375" s="196" customFormat="1"/>
    <row r="376" s="196" customFormat="1"/>
    <row r="377" s="196" customFormat="1"/>
    <row r="378" s="196" customFormat="1"/>
    <row r="379" s="196" customFormat="1"/>
    <row r="380" s="196" customFormat="1"/>
    <row r="381" s="196" customFormat="1"/>
    <row r="382" s="196" customFormat="1"/>
    <row r="383" s="196" customFormat="1"/>
    <row r="384" s="196" customFormat="1"/>
    <row r="385" s="196" customFormat="1"/>
    <row r="386" s="196" customFormat="1"/>
    <row r="387" s="196" customFormat="1"/>
    <row r="388" s="196" customFormat="1"/>
    <row r="389" s="196" customFormat="1"/>
    <row r="390" s="196" customFormat="1"/>
    <row r="391" s="196" customFormat="1"/>
    <row r="392" s="196" customFormat="1"/>
    <row r="393" s="196" customFormat="1"/>
    <row r="394" s="196" customFormat="1"/>
    <row r="395" s="196" customFormat="1"/>
    <row r="396" s="196" customFormat="1"/>
    <row r="397" s="196" customFormat="1"/>
    <row r="398" s="196" customFormat="1"/>
    <row r="399" s="196" customFormat="1"/>
    <row r="400" s="196" customFormat="1"/>
    <row r="401" s="196" customFormat="1"/>
    <row r="402" s="196" customFormat="1"/>
    <row r="403" s="196" customFormat="1"/>
    <row r="404" s="196" customFormat="1"/>
    <row r="405" s="196" customFormat="1"/>
    <row r="406" s="196" customFormat="1"/>
    <row r="407" s="196" customFormat="1"/>
    <row r="408" s="196" customFormat="1"/>
    <row r="409" s="196" customFormat="1"/>
    <row r="410" s="196" customFormat="1"/>
    <row r="411" s="196" customFormat="1"/>
    <row r="412" s="196" customFormat="1"/>
    <row r="413" s="196" customFormat="1"/>
    <row r="414" s="196" customFormat="1"/>
    <row r="415" s="196" customFormat="1"/>
    <row r="416" s="196" customFormat="1"/>
    <row r="417" s="196" customFormat="1"/>
    <row r="418" s="196" customFormat="1"/>
    <row r="419" s="196" customFormat="1"/>
    <row r="420" s="196" customFormat="1"/>
    <row r="421" s="196" customFormat="1"/>
    <row r="422" s="196" customFormat="1"/>
    <row r="423" s="196" customFormat="1"/>
    <row r="424" s="196" customFormat="1"/>
    <row r="425" s="196" customFormat="1"/>
    <row r="426" s="196" customFormat="1"/>
    <row r="427" s="196" customFormat="1"/>
    <row r="428" s="196" customFormat="1"/>
    <row r="429" s="196" customFormat="1"/>
    <row r="430" s="196" customFormat="1"/>
    <row r="431" s="196" customFormat="1"/>
    <row r="432" s="196" customFormat="1"/>
    <row r="433" s="196" customFormat="1"/>
    <row r="434" s="196" customFormat="1"/>
    <row r="435" s="196" customFormat="1"/>
    <row r="436" s="196" customFormat="1"/>
    <row r="437" s="196" customFormat="1"/>
    <row r="438" s="196" customFormat="1"/>
    <row r="439" s="196" customFormat="1"/>
    <row r="440" s="196" customFormat="1"/>
    <row r="441" s="196" customFormat="1"/>
    <row r="442" s="196" customFormat="1"/>
    <row r="443" s="196" customFormat="1"/>
    <row r="444" s="196" customFormat="1"/>
    <row r="445" s="196" customFormat="1"/>
    <row r="446" s="196" customFormat="1"/>
    <row r="447" s="196" customFormat="1"/>
    <row r="448" s="196" customFormat="1"/>
    <row r="449" s="196" customFormat="1"/>
    <row r="450" s="196" customFormat="1"/>
    <row r="451" s="196" customFormat="1"/>
    <row r="452" s="196" customFormat="1"/>
    <row r="453" s="196" customFormat="1"/>
    <row r="454" s="196" customFormat="1"/>
    <row r="455" s="196" customFormat="1"/>
    <row r="456" s="196" customFormat="1"/>
    <row r="457" s="196" customFormat="1"/>
    <row r="458" s="196" customFormat="1"/>
    <row r="459" s="196" customFormat="1"/>
    <row r="460" s="196" customFormat="1"/>
    <row r="461" s="196" customFormat="1"/>
    <row r="462" s="196" customFormat="1"/>
    <row r="463" s="196" customFormat="1"/>
    <row r="464" s="196" customFormat="1"/>
    <row r="465" s="196" customFormat="1"/>
    <row r="466" s="196" customFormat="1"/>
    <row r="467" s="196" customFormat="1"/>
    <row r="468" s="196" customFormat="1"/>
    <row r="469" s="196" customFormat="1"/>
    <row r="470" s="196" customFormat="1"/>
    <row r="471" s="196" customFormat="1"/>
    <row r="472" s="196" customFormat="1"/>
    <row r="473" s="196" customFormat="1"/>
    <row r="474" s="196" customFormat="1"/>
    <row r="475" s="196" customFormat="1"/>
    <row r="476" s="196" customFormat="1"/>
    <row r="477" s="196" customFormat="1"/>
    <row r="478" s="196" customFormat="1"/>
    <row r="479" s="196" customFormat="1"/>
    <row r="480" s="196" customFormat="1"/>
    <row r="481" s="196" customFormat="1"/>
    <row r="482" s="196" customFormat="1"/>
    <row r="483" s="196" customFormat="1"/>
    <row r="484" s="196" customFormat="1"/>
    <row r="485" s="196" customFormat="1"/>
    <row r="486" s="196" customFormat="1"/>
    <row r="487" s="196" customFormat="1"/>
    <row r="488" s="196" customFormat="1"/>
  </sheetData>
  <sheetProtection selectLockedCells="1"/>
  <customSheetViews>
    <customSheetView guid="{754FC85E-76B5-484D-837B-A1CDE300AC8C}" showGridLines="0" showRuler="0" topLeftCell="A2">
      <selection activeCell="A2" sqref="A2"/>
      <pageMargins left="0.354330708661417" right="0.354330708661417" top="0.354330708661417" bottom="0.354330708661417" header="0.196850393700787" footer="0"/>
      <printOptions horizontalCentered="1" verticalCentered="1"/>
      <pageSetup paperSize="9" orientation="landscape" horizontalDpi="300" verticalDpi="300"/>
      <headerFooter/>
    </customSheetView>
  </customSheetViews>
  <mergeCells count="54">
    <mergeCell ref="C2:F2"/>
    <mergeCell ref="AB2:AE2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Q4:R4"/>
    <mergeCell ref="S4:T4"/>
    <mergeCell ref="C5:H5"/>
    <mergeCell ref="I5:J5"/>
    <mergeCell ref="K5:L5"/>
    <mergeCell ref="M5:N5"/>
    <mergeCell ref="O5:P5"/>
    <mergeCell ref="Q5:R5"/>
    <mergeCell ref="S5:T5"/>
    <mergeCell ref="U5:V5"/>
    <mergeCell ref="W5:Z5"/>
    <mergeCell ref="AA5:AB5"/>
    <mergeCell ref="AC5:AE5"/>
    <mergeCell ref="C6:H6"/>
    <mergeCell ref="I6:J6"/>
    <mergeCell ref="K6:L6"/>
    <mergeCell ref="M6:N6"/>
    <mergeCell ref="O6:P6"/>
    <mergeCell ref="Q6:R6"/>
    <mergeCell ref="S6:T6"/>
    <mergeCell ref="U6:V6"/>
    <mergeCell ref="W6:Z6"/>
    <mergeCell ref="AA6:AB6"/>
    <mergeCell ref="AC6:AE6"/>
    <mergeCell ref="AC7:AE7"/>
    <mergeCell ref="AC11:AE11"/>
    <mergeCell ref="AC15:AE15"/>
    <mergeCell ref="AC19:AE19"/>
    <mergeCell ref="AC20:AE20"/>
    <mergeCell ref="AC21:AD21"/>
    <mergeCell ref="AC22:AD22"/>
    <mergeCell ref="AC23:AE23"/>
    <mergeCell ref="AC31:AD31"/>
    <mergeCell ref="A20:A24"/>
    <mergeCell ref="A27:A31"/>
    <mergeCell ref="A3:B4"/>
    <mergeCell ref="U3:V4"/>
    <mergeCell ref="AA3:AB4"/>
    <mergeCell ref="W3:Z4"/>
    <mergeCell ref="AC3:AE4"/>
    <mergeCell ref="C3:H4"/>
    <mergeCell ref="A32:C34"/>
    <mergeCell ref="D32:AB34"/>
  </mergeCells>
  <conditionalFormatting sqref="C9:AA14">
    <cfRule type="cellIs" dxfId="0" priority="3" stopIfTrue="1" operator="greaterThan">
      <formula>$K$4</formula>
    </cfRule>
    <cfRule type="cellIs" dxfId="1" priority="4" stopIfTrue="1" operator="lessThan">
      <formula>$K$6</formula>
    </cfRule>
  </conditionalFormatting>
  <conditionalFormatting sqref="A90:E106">
    <cfRule type="cellIs" dxfId="2" priority="1" stopIfTrue="1" operator="greaterThanOrEqual">
      <formula>$K$4</formula>
    </cfRule>
    <cfRule type="cellIs" dxfId="3" priority="2" stopIfTrue="1" operator="lessThanOrEqual">
      <formula>$K$6</formula>
    </cfRule>
  </conditionalFormatting>
  <dataValidations count="1">
    <dataValidation allowBlank="1" showInputMessage="1" showErrorMessage="1" sqref="M4"/>
  </dataValidations>
  <printOptions horizontalCentered="1" verticalCentered="1"/>
  <pageMargins left="0.236220472440945" right="0.275590551181102" top="0.354330708661417" bottom="0.354330708661417" header="0.196850393700787" footer="0"/>
  <pageSetup paperSize="9" orientation="landscape" horizontalDpi="300" verticalDpi="300"/>
  <headerFooter alignWithMargins="0" scaleWithDoc="0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2"/>
  <sheetViews>
    <sheetView zoomScaleSheetLayoutView="60" workbookViewId="0">
      <selection activeCell="AA20" sqref="AA20"/>
    </sheetView>
  </sheetViews>
  <sheetFormatPr defaultColWidth="9.14285714285714" defaultRowHeight="17.6"/>
  <cols>
    <col min="1" max="1" width="6.25" style="117" customWidth="1"/>
    <col min="2" max="12" width="4" style="117" customWidth="1"/>
    <col min="13" max="13" width="7.125" style="117" customWidth="1"/>
    <col min="14" max="14" width="6.75" style="117" customWidth="1"/>
    <col min="15" max="15" width="6.375" style="117" customWidth="1"/>
    <col min="16" max="16" width="4.375" style="117" customWidth="1"/>
    <col min="17" max="17" width="7.625" style="117" customWidth="1"/>
    <col min="18" max="18" width="6.75" style="117" customWidth="1"/>
    <col min="19" max="19" width="9.625" style="117" customWidth="1"/>
    <col min="20" max="20" width="5.625" style="117" customWidth="1"/>
    <col min="21" max="22" width="6.75" style="117" customWidth="1"/>
    <col min="23" max="23" width="9.625" style="117" customWidth="1"/>
    <col min="24" max="24" width="5.125" style="117" customWidth="1"/>
    <col min="25" max="25" width="4.125" style="117" customWidth="1"/>
    <col min="26" max="26" width="1.625" style="117" customWidth="1"/>
    <col min="27" max="27" width="7.75" style="118" customWidth="1"/>
    <col min="28" max="28" width="6.625" style="118" customWidth="1"/>
    <col min="29" max="29" width="2.375" style="118" customWidth="1"/>
    <col min="30" max="30" width="5.375" style="118" customWidth="1"/>
    <col min="31" max="31" width="10" style="118" customWidth="1"/>
    <col min="32" max="32" width="9.5" style="118" customWidth="1"/>
    <col min="33" max="34" width="10" style="118" customWidth="1"/>
    <col min="35" max="35" width="5.25" style="118" customWidth="1"/>
    <col min="36" max="36" width="4" style="118" customWidth="1"/>
    <col min="37" max="37" width="8.625" style="119" customWidth="1"/>
    <col min="38" max="38" width="11.75" style="119" customWidth="1"/>
    <col min="39" max="39" width="5" style="119" customWidth="1"/>
    <col min="40" max="40" width="9.125" style="119" customWidth="1"/>
    <col min="41" max="41" width="10" style="118" customWidth="1"/>
  </cols>
  <sheetData>
    <row r="1" ht="16.5" customHeight="1" spans="1:26">
      <c r="A1" s="120" t="s">
        <v>77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62"/>
    </row>
    <row r="2" ht="16.5" customHeight="1" spans="1:26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62"/>
    </row>
    <row r="3" ht="16.5" customHeight="1" spans="1:27">
      <c r="A3" s="121"/>
      <c r="B3" s="121"/>
      <c r="C3" s="121"/>
      <c r="D3" s="121"/>
      <c r="E3" s="121"/>
      <c r="F3" s="121"/>
      <c r="G3" s="136"/>
      <c r="H3" s="136"/>
      <c r="I3" s="136"/>
      <c r="J3" s="142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21"/>
      <c r="W3" s="121"/>
      <c r="X3" s="121"/>
      <c r="Y3" s="121"/>
      <c r="Z3" s="162"/>
      <c r="AA3" s="118" t="s">
        <v>78</v>
      </c>
    </row>
    <row r="4" ht="16.5" customHeight="1" spans="1:38">
      <c r="A4" s="122" t="s">
        <v>79</v>
      </c>
      <c r="B4" s="123" t="s">
        <v>80</v>
      </c>
      <c r="C4" s="123"/>
      <c r="D4" s="123"/>
      <c r="E4" s="123"/>
      <c r="F4" s="137" t="s">
        <v>81</v>
      </c>
      <c r="G4" s="137"/>
      <c r="H4" s="137"/>
      <c r="I4" s="144" t="s">
        <v>82</v>
      </c>
      <c r="J4" s="144"/>
      <c r="K4" s="144"/>
      <c r="L4" s="137" t="s">
        <v>83</v>
      </c>
      <c r="M4" s="137"/>
      <c r="N4" s="144"/>
      <c r="O4" s="144"/>
      <c r="P4" s="137" t="s">
        <v>84</v>
      </c>
      <c r="Q4" s="137"/>
      <c r="R4" s="147">
        <f ca="1">TODAY()</f>
        <v>46116</v>
      </c>
      <c r="S4" s="148"/>
      <c r="T4" s="148"/>
      <c r="U4" s="156" t="s">
        <v>85</v>
      </c>
      <c r="V4" s="144"/>
      <c r="W4" s="144"/>
      <c r="X4" s="144"/>
      <c r="Y4" s="163"/>
      <c r="AA4" s="164" t="s">
        <v>86</v>
      </c>
      <c r="AB4" s="165" t="s">
        <v>86</v>
      </c>
      <c r="AD4" s="180" t="s">
        <v>87</v>
      </c>
      <c r="AE4" s="181" t="s">
        <v>88</v>
      </c>
      <c r="AG4" s="181" t="s">
        <v>88</v>
      </c>
      <c r="AH4" s="181" t="s">
        <v>89</v>
      </c>
      <c r="AK4" s="119" t="s">
        <v>71</v>
      </c>
      <c r="AL4" s="119" t="s">
        <v>90</v>
      </c>
    </row>
    <row r="5" ht="17.25" customHeight="1" spans="1:41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66"/>
      <c r="Z5" s="155"/>
      <c r="AA5" s="167" t="str">
        <f ca="1">CONCATENATE($AA$3,AG5)</f>
        <v>&lt;-0.012274678111588</v>
      </c>
      <c r="AB5" s="168"/>
      <c r="AD5" s="180">
        <v>1</v>
      </c>
      <c r="AE5" s="182">
        <f ca="1">AG19-AB19/2</f>
        <v>-0.012274678111588</v>
      </c>
      <c r="AF5" s="183"/>
      <c r="AG5" s="182">
        <f ca="1">AG19-AB19/2</f>
        <v>-0.012274678111588</v>
      </c>
      <c r="AH5" s="186">
        <f ca="1">COUNTIF('X-R'!$C$9:'X-R'!$AB$14,AA5)</f>
        <v>0</v>
      </c>
      <c r="AJ5" s="118">
        <v>1</v>
      </c>
      <c r="AK5" s="119">
        <f ca="1">AG19-AB19/2</f>
        <v>-0.012274678111588</v>
      </c>
      <c r="AL5" s="118">
        <f ca="1" t="shared" ref="AL5:AL36" si="0">NORMDIST(AK5,$AB$20,$AB$19,FALSE)*$AB$22</f>
        <v>5.92652523167693e-15</v>
      </c>
      <c r="AM5" s="118"/>
      <c r="AN5" s="188">
        <f>$AB$20-3*$AB$19</f>
        <v>0.124885264663805</v>
      </c>
      <c r="AO5" s="118">
        <v>0</v>
      </c>
    </row>
    <row r="6" spans="1:41">
      <c r="A6" s="126"/>
      <c r="B6" s="127"/>
      <c r="C6" s="127"/>
      <c r="D6" s="127"/>
      <c r="E6" s="127"/>
      <c r="F6" s="138"/>
      <c r="G6" s="127"/>
      <c r="H6" s="127"/>
      <c r="I6" s="127"/>
      <c r="J6" s="127"/>
      <c r="K6" s="139"/>
      <c r="L6" s="139"/>
      <c r="M6" s="139"/>
      <c r="N6" s="127"/>
      <c r="O6" s="146"/>
      <c r="P6" s="127"/>
      <c r="Q6" s="149" t="s">
        <v>91</v>
      </c>
      <c r="R6" s="127"/>
      <c r="S6" s="150"/>
      <c r="T6" s="150"/>
      <c r="U6" s="150"/>
      <c r="V6" s="154"/>
      <c r="W6" s="157">
        <f>IF('X-R'!M6="","",'X-R'!M6)</f>
        <v>25</v>
      </c>
      <c r="X6" s="127"/>
      <c r="Y6" s="169"/>
      <c r="Z6" s="155"/>
      <c r="AA6" s="170" t="str">
        <f ca="1">CONCATENATE($AA$4,AG6)</f>
        <v>&gt;=0.017725321888412</v>
      </c>
      <c r="AB6" s="170" t="str">
        <f ca="1">CONCATENATE($AB$4,AG5)</f>
        <v>&gt;=-0.012274678111588</v>
      </c>
      <c r="AD6" s="180">
        <v>2</v>
      </c>
      <c r="AE6" s="182">
        <f ca="1">AE5+$AI$19</f>
        <v>0.017725321888412</v>
      </c>
      <c r="AF6" s="183"/>
      <c r="AG6" s="182">
        <f ca="1">AG5+$AI$19</f>
        <v>0.017725321888412</v>
      </c>
      <c r="AH6" s="186">
        <f ca="1">ABS(COUNTIF('X-R'!$C$9:'X-R'!$AB$14,AA6)-COUNTIF('X-R'!$C$9:'X-R'!$AB$14,AB6))</f>
        <v>0</v>
      </c>
      <c r="AJ6" s="118">
        <v>2</v>
      </c>
      <c r="AK6" s="119">
        <f ca="1" t="shared" ref="AK6:AK37" si="1">AK5+$AB$21/5</f>
        <v>-0.006274678111588</v>
      </c>
      <c r="AL6" s="118">
        <f ca="1" t="shared" si="0"/>
        <v>4.69136484669224e-14</v>
      </c>
      <c r="AM6" s="118"/>
      <c r="AN6" s="119">
        <f>AN5</f>
        <v>0.124885264663805</v>
      </c>
      <c r="AO6" s="118">
        <f ca="1">$AB$23*0.7</f>
        <v>46.1347800574086</v>
      </c>
    </row>
    <row r="7" spans="1:41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51" t="s">
        <v>92</v>
      </c>
      <c r="R7" s="127"/>
      <c r="S7" s="150"/>
      <c r="T7" s="150"/>
      <c r="U7" s="150"/>
      <c r="V7" s="154"/>
      <c r="W7" s="157">
        <f>IF('X-R'!AD14="","",'X-R'!AD14)</f>
        <v>125</v>
      </c>
      <c r="X7" s="127"/>
      <c r="Y7" s="171"/>
      <c r="Z7" s="155"/>
      <c r="AA7" s="170" t="str">
        <f ca="1">CONCATENATE($AA$4,AG7)</f>
        <v>&gt;=0.047725321888412</v>
      </c>
      <c r="AB7" s="170" t="str">
        <f ca="1" t="shared" ref="AB7:AB15" si="2">CONCATENATE($AB$4,AG6)</f>
        <v>&gt;=0.017725321888412</v>
      </c>
      <c r="AD7" s="180">
        <v>3</v>
      </c>
      <c r="AE7" s="182">
        <f ca="1" t="shared" ref="AE7:AE15" si="3">AE6+$AI$19</f>
        <v>0.047725321888412</v>
      </c>
      <c r="AF7" s="183"/>
      <c r="AG7" s="182">
        <f ca="1" t="shared" ref="AG7:AG15" si="4">AG6+$AI$19</f>
        <v>0.047725321888412</v>
      </c>
      <c r="AH7" s="186">
        <f ca="1">ABS(COUNTIF('X-R'!$C$9:'X-R'!$AB$14,AA7)-COUNTIF('X-R'!$C$9:'X-R'!$AB$14,AB7))</f>
        <v>0</v>
      </c>
      <c r="AJ7" s="118">
        <v>3</v>
      </c>
      <c r="AK7" s="119">
        <f ca="1" t="shared" si="1"/>
        <v>-0.000274678111588</v>
      </c>
      <c r="AL7" s="118">
        <f ca="1" t="shared" si="0"/>
        <v>3.4982922920997e-13</v>
      </c>
      <c r="AM7" s="118"/>
      <c r="AN7" s="119">
        <f>AN6</f>
        <v>0.124885264663805</v>
      </c>
      <c r="AO7" s="118">
        <v>0</v>
      </c>
    </row>
    <row r="8" spans="1:41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51" t="s">
        <v>93</v>
      </c>
      <c r="R8" s="127"/>
      <c r="S8" s="150"/>
      <c r="T8" s="150"/>
      <c r="U8" s="150"/>
      <c r="V8" s="154"/>
      <c r="W8" s="158">
        <f>IF('X-R'!AD16="","",'X-R'!AD16)</f>
        <v>0.198533333333333</v>
      </c>
      <c r="X8" s="127"/>
      <c r="Y8" s="171"/>
      <c r="Z8" s="155"/>
      <c r="AA8" s="170" t="str">
        <f ca="1">CONCATENATE($AA$4,AG8)</f>
        <v>&gt;=0.077725321888412</v>
      </c>
      <c r="AB8" s="170" t="str">
        <f ca="1" t="shared" si="2"/>
        <v>&gt;=0.047725321888412</v>
      </c>
      <c r="AD8" s="180">
        <v>4</v>
      </c>
      <c r="AE8" s="182">
        <f ca="1" t="shared" si="3"/>
        <v>0.077725321888412</v>
      </c>
      <c r="AF8" s="183"/>
      <c r="AG8" s="182">
        <f ca="1" t="shared" si="4"/>
        <v>0.077725321888412</v>
      </c>
      <c r="AH8" s="186">
        <f ca="1">ABS(COUNTIF('X-R'!$C$9:'X-R'!$AB$14,AA8)-COUNTIF('X-R'!$C$9:'X-R'!$AB$14,AB8))</f>
        <v>0</v>
      </c>
      <c r="AJ8" s="118">
        <v>4</v>
      </c>
      <c r="AK8" s="119">
        <f ca="1" t="shared" si="1"/>
        <v>0.005725321888412</v>
      </c>
      <c r="AL8" s="118">
        <f ca="1" t="shared" si="0"/>
        <v>2.45737134326203e-12</v>
      </c>
      <c r="AM8" s="118"/>
      <c r="AN8" s="119">
        <f>$AB$20-2*$AB$19</f>
        <v>0.149434620886981</v>
      </c>
      <c r="AO8" s="118">
        <v>0</v>
      </c>
    </row>
    <row r="9" spans="1:41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51" t="s">
        <v>94</v>
      </c>
      <c r="R9" s="127"/>
      <c r="S9" s="150"/>
      <c r="T9" s="150"/>
      <c r="U9" s="150"/>
      <c r="V9" s="154"/>
      <c r="W9" s="158">
        <f ca="1">IF('X-R'!C9="","",MIN('X-R'!C9:'X-R'!AB14))</f>
        <v>0.12</v>
      </c>
      <c r="X9" s="127"/>
      <c r="Y9" s="171"/>
      <c r="Z9" s="155"/>
      <c r="AA9" s="170" t="str">
        <f ca="1" t="shared" ref="AA9:AA15" si="5">CONCATENATE($AA$4,AG9)</f>
        <v>&gt;=0.107725321888412</v>
      </c>
      <c r="AB9" s="170" t="str">
        <f ca="1" t="shared" si="2"/>
        <v>&gt;=0.077725321888412</v>
      </c>
      <c r="AD9" s="180">
        <v>5</v>
      </c>
      <c r="AE9" s="182">
        <f ca="1" t="shared" si="3"/>
        <v>0.107725321888412</v>
      </c>
      <c r="AF9" s="183"/>
      <c r="AG9" s="182">
        <f ca="1" t="shared" si="4"/>
        <v>0.107725321888412</v>
      </c>
      <c r="AH9" s="186">
        <f ca="1">ABS(COUNTIF('X-R'!$C$9:'X-R'!$AB$14,AA9)-COUNTIF('X-R'!$C$9:'X-R'!$AB$14,AB9))</f>
        <v>0</v>
      </c>
      <c r="AJ9" s="118">
        <v>5</v>
      </c>
      <c r="AK9" s="119">
        <f ca="1" t="shared" si="1"/>
        <v>0.011725321888412</v>
      </c>
      <c r="AL9" s="118">
        <f ca="1" t="shared" si="0"/>
        <v>1.62608520360925e-11</v>
      </c>
      <c r="AM9" s="118"/>
      <c r="AN9" s="119">
        <f>AN8</f>
        <v>0.149434620886981</v>
      </c>
      <c r="AO9" s="118">
        <f ca="1">$AB$23*0.5</f>
        <v>32.9534143267204</v>
      </c>
    </row>
    <row r="10" spans="1:41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51" t="s">
        <v>95</v>
      </c>
      <c r="R10" s="127"/>
      <c r="S10" s="150"/>
      <c r="T10" s="150"/>
      <c r="U10" s="150"/>
      <c r="V10" s="154"/>
      <c r="W10" s="158">
        <f ca="1">IF('X-R'!C9="","",MAX('X-R'!C9:'X-R'!AB14))</f>
        <v>0.26</v>
      </c>
      <c r="X10" s="127"/>
      <c r="Y10" s="171"/>
      <c r="AA10" s="170" t="str">
        <f ca="1" t="shared" si="5"/>
        <v>&gt;=0.137725321888412</v>
      </c>
      <c r="AB10" s="170" t="str">
        <f ca="1" t="shared" si="2"/>
        <v>&gt;=0.107725321888412</v>
      </c>
      <c r="AD10" s="180">
        <v>6</v>
      </c>
      <c r="AE10" s="182">
        <f ca="1" t="shared" si="3"/>
        <v>0.137725321888412</v>
      </c>
      <c r="AF10" s="183"/>
      <c r="AG10" s="182">
        <f ca="1" t="shared" si="4"/>
        <v>0.137725321888412</v>
      </c>
      <c r="AH10" s="186">
        <f ca="1">ABS(COUNTIF('X-R'!$C$9:'X-R'!$AB$14,AA10)-COUNTIF('X-R'!$C$9:'X-R'!$AB$14,AB10))</f>
        <v>2</v>
      </c>
      <c r="AJ10" s="118">
        <v>6</v>
      </c>
      <c r="AK10" s="119">
        <f ca="1" t="shared" si="1"/>
        <v>0.017725321888412</v>
      </c>
      <c r="AL10" s="118">
        <f ca="1" t="shared" si="0"/>
        <v>1.01361637728667e-10</v>
      </c>
      <c r="AM10" s="118"/>
      <c r="AN10" s="119">
        <f>AN9</f>
        <v>0.149434620886981</v>
      </c>
      <c r="AO10" s="118">
        <v>0</v>
      </c>
    </row>
    <row r="11" spans="1:41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51" t="s">
        <v>96</v>
      </c>
      <c r="R11" s="127"/>
      <c r="S11" s="150"/>
      <c r="T11" s="150"/>
      <c r="U11" s="150"/>
      <c r="V11" s="154"/>
      <c r="W11" s="158">
        <f>IF('X-R'!C9="","",MEDIAN('X-R'!C9:AB14))</f>
        <v>0.2</v>
      </c>
      <c r="X11" s="127"/>
      <c r="Y11" s="171"/>
      <c r="AA11" s="170" t="str">
        <f ca="1" t="shared" si="5"/>
        <v>&gt;=0.167725321888412</v>
      </c>
      <c r="AB11" s="170" t="str">
        <f ca="1" t="shared" si="2"/>
        <v>&gt;=0.137725321888412</v>
      </c>
      <c r="AD11" s="180">
        <v>7</v>
      </c>
      <c r="AE11" s="182">
        <f ca="1" t="shared" si="3"/>
        <v>0.167725321888412</v>
      </c>
      <c r="AF11" s="183"/>
      <c r="AG11" s="182">
        <f ca="1" t="shared" si="4"/>
        <v>0.167725321888412</v>
      </c>
      <c r="AH11" s="186">
        <f ca="1">ABS(COUNTIF('X-R'!$C$9:'X-R'!$AB$14,AA11)-COUNTIF('X-R'!$C$9:'X-R'!$AB$14,AB11))</f>
        <v>12</v>
      </c>
      <c r="AJ11" s="118">
        <v>7</v>
      </c>
      <c r="AK11" s="119">
        <f ca="1" t="shared" si="1"/>
        <v>0.023725321888412</v>
      </c>
      <c r="AL11" s="118">
        <f ca="1" t="shared" si="0"/>
        <v>5.95198396096909e-10</v>
      </c>
      <c r="AM11" s="118"/>
      <c r="AN11" s="119">
        <f>$AB$20-1*$AB$19</f>
        <v>0.173983977110157</v>
      </c>
      <c r="AO11" s="118">
        <v>0</v>
      </c>
    </row>
    <row r="12" spans="1:41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40"/>
      <c r="Q12" s="152" t="s">
        <v>97</v>
      </c>
      <c r="R12" s="140"/>
      <c r="S12" s="153"/>
      <c r="T12" s="153"/>
      <c r="U12" s="153"/>
      <c r="V12" s="153"/>
      <c r="W12" s="159">
        <f>IF('X-R'!M4="","",'X-R'!M4)</f>
        <v>5</v>
      </c>
      <c r="X12" s="140"/>
      <c r="Y12" s="172"/>
      <c r="AA12" s="170" t="str">
        <f ca="1" t="shared" si="5"/>
        <v>&gt;=0.197725321888412</v>
      </c>
      <c r="AB12" s="170" t="str">
        <f ca="1" t="shared" si="2"/>
        <v>&gt;=0.167725321888412</v>
      </c>
      <c r="AD12" s="180">
        <v>8</v>
      </c>
      <c r="AE12" s="182">
        <f ca="1" t="shared" si="3"/>
        <v>0.197725321888412</v>
      </c>
      <c r="AF12" s="183"/>
      <c r="AG12" s="182">
        <f ca="1" t="shared" si="4"/>
        <v>0.197725321888412</v>
      </c>
      <c r="AH12" s="186">
        <f ca="1">ABS(COUNTIF('X-R'!$C$9:'X-R'!$AB$14,AA12)-COUNTIF('X-R'!$C$9:'X-R'!$AB$14,AB12))</f>
        <v>45</v>
      </c>
      <c r="AJ12" s="118">
        <v>8</v>
      </c>
      <c r="AK12" s="119">
        <f ca="1" t="shared" si="1"/>
        <v>0.029725321888412</v>
      </c>
      <c r="AL12" s="118">
        <f ca="1" t="shared" si="0"/>
        <v>3.29236288982223e-9</v>
      </c>
      <c r="AM12" s="118"/>
      <c r="AN12" s="119">
        <f>$AB$20-1*$AB$19</f>
        <v>0.173983977110157</v>
      </c>
      <c r="AO12" s="118">
        <f ca="1">$AB$23*0.5</f>
        <v>32.9534143267204</v>
      </c>
    </row>
    <row r="13" spans="1:41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40"/>
      <c r="Q13" s="152" t="s">
        <v>98</v>
      </c>
      <c r="R13" s="140"/>
      <c r="S13" s="153"/>
      <c r="T13" s="153"/>
      <c r="U13" s="153"/>
      <c r="V13" s="153"/>
      <c r="W13" s="158">
        <f>IF('X-R'!K4="","",'X-R'!K4)</f>
        <v>0.3</v>
      </c>
      <c r="X13" s="140"/>
      <c r="Y13" s="172"/>
      <c r="AA13" s="170" t="str">
        <f ca="1" t="shared" si="5"/>
        <v>&gt;=0.227725321888412</v>
      </c>
      <c r="AB13" s="170" t="str">
        <f ca="1" t="shared" si="2"/>
        <v>&gt;=0.197725321888412</v>
      </c>
      <c r="AD13" s="180">
        <v>9</v>
      </c>
      <c r="AE13" s="182">
        <f ca="1" t="shared" si="3"/>
        <v>0.227725321888412</v>
      </c>
      <c r="AF13" s="183"/>
      <c r="AG13" s="182">
        <f ca="1" t="shared" si="4"/>
        <v>0.227725321888412</v>
      </c>
      <c r="AH13" s="186">
        <f ca="1">ABS(COUNTIF('X-R'!$C$9:'X-R'!$AB$14,AA13)-COUNTIF('X-R'!$C$9:'X-R'!$AB$14,AB13))</f>
        <v>41</v>
      </c>
      <c r="AJ13" s="118">
        <v>9</v>
      </c>
      <c r="AK13" s="119">
        <f ca="1" t="shared" si="1"/>
        <v>0.035725321888412</v>
      </c>
      <c r="AL13" s="118">
        <f ca="1" t="shared" si="0"/>
        <v>1.71558190075038e-8</v>
      </c>
      <c r="AM13" s="118"/>
      <c r="AN13" s="119">
        <f>$AB$20-1*$AB$19</f>
        <v>0.173983977110157</v>
      </c>
      <c r="AO13" s="118">
        <v>0</v>
      </c>
    </row>
    <row r="14" spans="1:41">
      <c r="A14" s="128"/>
      <c r="B14" s="129"/>
      <c r="C14" s="129"/>
      <c r="D14" s="129"/>
      <c r="E14" s="129"/>
      <c r="F14" s="139"/>
      <c r="G14" s="139"/>
      <c r="H14" s="139"/>
      <c r="I14" s="139"/>
      <c r="J14" s="139"/>
      <c r="K14" s="139"/>
      <c r="L14" s="139"/>
      <c r="M14" s="127"/>
      <c r="N14" s="127"/>
      <c r="O14" s="127"/>
      <c r="P14" s="140"/>
      <c r="Q14" s="152" t="s">
        <v>99</v>
      </c>
      <c r="R14" s="140"/>
      <c r="S14" s="153"/>
      <c r="T14" s="153"/>
      <c r="U14" s="153"/>
      <c r="V14" s="153"/>
      <c r="W14" s="158">
        <f>IF('X-R'!K6="","",'X-R'!K6)</f>
        <v>0</v>
      </c>
      <c r="X14" s="140"/>
      <c r="Y14" s="172"/>
      <c r="AA14" s="170" t="str">
        <f ca="1" t="shared" si="5"/>
        <v>&gt;=0.257725321888412</v>
      </c>
      <c r="AB14" s="170" t="str">
        <f ca="1" t="shared" si="2"/>
        <v>&gt;=0.227725321888412</v>
      </c>
      <c r="AD14" s="180">
        <v>10</v>
      </c>
      <c r="AE14" s="182">
        <f ca="1" t="shared" si="3"/>
        <v>0.257725321888412</v>
      </c>
      <c r="AF14" s="183"/>
      <c r="AG14" s="182">
        <f ca="1" t="shared" si="4"/>
        <v>0.257725321888412</v>
      </c>
      <c r="AH14" s="186">
        <f ca="1">ABS(COUNTIF('X-R'!$C$9:'X-R'!$AB$14,AA14)-COUNTIF('X-R'!$C$9:'X-R'!$AB$14,AB14))</f>
        <v>24</v>
      </c>
      <c r="AJ14" s="118">
        <v>10</v>
      </c>
      <c r="AK14" s="119">
        <f ca="1" t="shared" si="1"/>
        <v>0.041725321888412</v>
      </c>
      <c r="AL14" s="118">
        <f ca="1" t="shared" si="0"/>
        <v>8.42118146927229e-8</v>
      </c>
      <c r="AM14" s="118"/>
      <c r="AN14" s="119">
        <f>AB20</f>
        <v>0.198533333333333</v>
      </c>
      <c r="AO14" s="118">
        <v>0</v>
      </c>
    </row>
    <row r="15" spans="1:41">
      <c r="A15" s="128"/>
      <c r="B15" s="129"/>
      <c r="C15" s="129"/>
      <c r="D15" s="129"/>
      <c r="E15" s="129"/>
      <c r="F15" s="139"/>
      <c r="G15" s="139"/>
      <c r="H15" s="139"/>
      <c r="I15" s="139"/>
      <c r="J15" s="139"/>
      <c r="K15" s="139"/>
      <c r="L15" s="139"/>
      <c r="M15" s="127"/>
      <c r="N15" s="127"/>
      <c r="O15" s="127"/>
      <c r="P15" s="127"/>
      <c r="Q15" s="154" t="s">
        <v>100</v>
      </c>
      <c r="R15" s="127"/>
      <c r="S15" s="150"/>
      <c r="T15" s="150"/>
      <c r="U15" s="150"/>
      <c r="V15" s="150"/>
      <c r="W15" s="158">
        <f>IF('X-R'!Q4="","",'X-R'!Q4)</f>
        <v>0.231709333333333</v>
      </c>
      <c r="X15" s="127"/>
      <c r="Y15" s="171"/>
      <c r="AA15" s="170" t="str">
        <f ca="1" t="shared" si="5"/>
        <v>&gt;=0.287725321888412</v>
      </c>
      <c r="AB15" s="170" t="str">
        <f ca="1" t="shared" si="2"/>
        <v>&gt;=0.257725321888412</v>
      </c>
      <c r="AD15" s="180">
        <v>11</v>
      </c>
      <c r="AE15" s="182">
        <f ca="1" t="shared" si="3"/>
        <v>0.287725321888412</v>
      </c>
      <c r="AF15" s="183"/>
      <c r="AG15" s="182">
        <f ca="1" t="shared" si="4"/>
        <v>0.287725321888412</v>
      </c>
      <c r="AH15" s="186">
        <f ca="1">ABS(COUNTIF('X-R'!$C$9:'X-R'!$AB$14,AA15)-COUNTIF('X-R'!$C$9:'X-R'!$AB$14,AB15))</f>
        <v>1</v>
      </c>
      <c r="AJ15" s="118">
        <v>11</v>
      </c>
      <c r="AK15" s="119">
        <f ca="1" t="shared" si="1"/>
        <v>0.047725321888412</v>
      </c>
      <c r="AL15" s="118">
        <f ca="1" t="shared" si="0"/>
        <v>3.8939682738988e-7</v>
      </c>
      <c r="AM15" s="118"/>
      <c r="AN15" s="119">
        <f>AB20</f>
        <v>0.198533333333333</v>
      </c>
      <c r="AO15" s="177">
        <f ca="1">$AB$23</f>
        <v>65.9068286534409</v>
      </c>
    </row>
    <row r="16" spans="1:41">
      <c r="A16" s="128"/>
      <c r="B16" s="129"/>
      <c r="C16" s="129"/>
      <c r="D16" s="129"/>
      <c r="E16" s="129"/>
      <c r="F16" s="139"/>
      <c r="G16" s="139"/>
      <c r="H16" s="139"/>
      <c r="I16" s="139"/>
      <c r="J16" s="139"/>
      <c r="K16" s="139"/>
      <c r="L16" s="139"/>
      <c r="M16" s="127"/>
      <c r="N16" s="127"/>
      <c r="O16" s="127"/>
      <c r="P16" s="127"/>
      <c r="Q16" s="154" t="s">
        <v>101</v>
      </c>
      <c r="R16" s="127"/>
      <c r="S16" s="150"/>
      <c r="T16" s="150"/>
      <c r="U16" s="150"/>
      <c r="V16" s="150"/>
      <c r="W16" s="158">
        <f>IF('X-R'!Q6="","",'X-R'!Q6)</f>
        <v>0.165357333333333</v>
      </c>
      <c r="X16" s="127"/>
      <c r="Y16" s="171"/>
      <c r="AA16" s="173"/>
      <c r="AB16" s="173"/>
      <c r="AC16" s="173"/>
      <c r="AD16" s="184"/>
      <c r="AE16" s="185" t="s">
        <v>102</v>
      </c>
      <c r="AF16" s="173"/>
      <c r="AG16" s="185" t="s">
        <v>102</v>
      </c>
      <c r="AH16" s="187">
        <f ca="1">'X-R'!AD14-SUM(AH5:AH15)</f>
        <v>0</v>
      </c>
      <c r="AI16" s="173"/>
      <c r="AJ16" s="173">
        <v>12</v>
      </c>
      <c r="AK16" s="174">
        <f ca="1" t="shared" si="1"/>
        <v>0.053725321888412</v>
      </c>
      <c r="AL16" s="173">
        <f ca="1" t="shared" si="0"/>
        <v>1.69617088331544e-6</v>
      </c>
      <c r="AM16" s="173"/>
      <c r="AN16" s="174">
        <f>AB20</f>
        <v>0.198533333333333</v>
      </c>
      <c r="AO16" s="173">
        <v>0</v>
      </c>
    </row>
    <row r="17" spans="1:41">
      <c r="A17" s="130"/>
      <c r="B17" s="131"/>
      <c r="C17" s="131"/>
      <c r="D17" s="131"/>
      <c r="E17" s="131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27"/>
      <c r="Q17" s="150" t="s">
        <v>103</v>
      </c>
      <c r="R17" s="127"/>
      <c r="S17" s="150"/>
      <c r="T17" s="150"/>
      <c r="U17" s="150"/>
      <c r="V17" s="150"/>
      <c r="W17" s="158">
        <f>IF('X-R'!AE24="","",'X-R'!AE24)</f>
        <v>0.0284094486780997</v>
      </c>
      <c r="X17" s="127"/>
      <c r="Y17" s="171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>
        <v>13</v>
      </c>
      <c r="AK17" s="174">
        <f ca="1" t="shared" si="1"/>
        <v>0.059725321888412</v>
      </c>
      <c r="AL17" s="173">
        <f ca="1" t="shared" si="0"/>
        <v>6.95992582432243e-6</v>
      </c>
      <c r="AM17" s="173"/>
      <c r="AN17" s="174">
        <f>$AB$20+1*$AB$19</f>
        <v>0.223082689556509</v>
      </c>
      <c r="AO17" s="173">
        <v>0</v>
      </c>
    </row>
    <row r="18" spans="1:41">
      <c r="A18" s="130"/>
      <c r="B18" s="131"/>
      <c r="C18" s="131"/>
      <c r="D18" s="131"/>
      <c r="E18" s="131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27"/>
      <c r="Q18" s="150" t="s">
        <v>104</v>
      </c>
      <c r="R18" s="127"/>
      <c r="S18" s="150"/>
      <c r="T18" s="150"/>
      <c r="U18" s="150"/>
      <c r="V18" s="150"/>
      <c r="W18" s="158">
        <f>IF('X-R'!AE25="","",'X-R'!AE25)</f>
        <v>0.024549356223176</v>
      </c>
      <c r="X18" s="127"/>
      <c r="Y18" s="171"/>
      <c r="AA18" s="118" t="s">
        <v>105</v>
      </c>
      <c r="AB18" s="118" t="s">
        <v>106</v>
      </c>
      <c r="AC18" s="173"/>
      <c r="AD18" s="173"/>
      <c r="AE18" s="173"/>
      <c r="AF18" s="173" t="s">
        <v>107</v>
      </c>
      <c r="AG18" s="173" t="s">
        <v>108</v>
      </c>
      <c r="AH18" s="173" t="s">
        <v>109</v>
      </c>
      <c r="AI18" s="173" t="s">
        <v>110</v>
      </c>
      <c r="AJ18" s="173">
        <v>14</v>
      </c>
      <c r="AK18" s="174">
        <f ca="1" t="shared" si="1"/>
        <v>0.065725321888412</v>
      </c>
      <c r="AL18" s="173">
        <f ca="1" t="shared" si="0"/>
        <v>2.69027967656461e-5</v>
      </c>
      <c r="AM18" s="173"/>
      <c r="AN18" s="174">
        <f>$AB$20+1*$AB$19</f>
        <v>0.223082689556509</v>
      </c>
      <c r="AO18" s="173">
        <f ca="1">$AB$23*0.5</f>
        <v>32.9534143267204</v>
      </c>
    </row>
    <row r="19" ht="18" spans="1:41">
      <c r="A19" s="130"/>
      <c r="B19" s="131"/>
      <c r="C19" s="131"/>
      <c r="D19" s="131"/>
      <c r="E19" s="131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27"/>
      <c r="Q19" s="150" t="s">
        <v>111</v>
      </c>
      <c r="R19" s="150"/>
      <c r="S19" s="150"/>
      <c r="T19" s="150"/>
      <c r="U19" s="150"/>
      <c r="V19" s="150"/>
      <c r="W19" s="158">
        <f ca="1">IF('X-R'!C9="","",SKEW('X-R'!C9:'X-R'!AB14))</f>
        <v>0.088323155120421</v>
      </c>
      <c r="X19" s="127"/>
      <c r="Y19" s="171"/>
      <c r="AA19" s="173" t="s">
        <v>112</v>
      </c>
      <c r="AB19" s="174">
        <f>'X-R'!AE25</f>
        <v>0.024549356223176</v>
      </c>
      <c r="AF19" s="173" t="s">
        <v>113</v>
      </c>
      <c r="AG19" s="174">
        <f ca="1">MIN(AG20,AG21,AG22,AG23)</f>
        <v>0</v>
      </c>
      <c r="AH19" s="174">
        <f ca="1">MAX(AH20,AH21,AH22,AH23)</f>
        <v>0.3</v>
      </c>
      <c r="AI19" s="174">
        <f ca="1">(AH19-AG19)/10</f>
        <v>0.03</v>
      </c>
      <c r="AJ19" s="118">
        <v>15</v>
      </c>
      <c r="AK19" s="119">
        <f ca="1" t="shared" si="1"/>
        <v>0.071725321888412</v>
      </c>
      <c r="AL19" s="118">
        <f ca="1" t="shared" si="0"/>
        <v>9.79598390369347e-5</v>
      </c>
      <c r="AM19" s="118"/>
      <c r="AN19" s="119">
        <f>$AB$20+1*$AB$19</f>
        <v>0.223082689556509</v>
      </c>
      <c r="AO19" s="118">
        <v>0</v>
      </c>
    </row>
    <row r="20" ht="18" spans="1:41">
      <c r="A20" s="128"/>
      <c r="B20" s="129"/>
      <c r="C20" s="129"/>
      <c r="D20" s="129"/>
      <c r="E20" s="129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50" t="s">
        <v>114</v>
      </c>
      <c r="R20" s="150"/>
      <c r="S20" s="150"/>
      <c r="T20" s="150"/>
      <c r="U20" s="150"/>
      <c r="V20" s="150"/>
      <c r="W20" s="158">
        <f>IF('X-R'!C9="","",KURT('X-R'!C9:AB14))</f>
        <v>-0.276762300272851</v>
      </c>
      <c r="X20" s="127"/>
      <c r="Y20" s="171"/>
      <c r="AA20" s="173" t="s">
        <v>115</v>
      </c>
      <c r="AB20" s="174">
        <f>'X-R'!AD16</f>
        <v>0.198533333333333</v>
      </c>
      <c r="AF20" s="173" t="s">
        <v>71</v>
      </c>
      <c r="AG20" s="174">
        <f ca="1">MIN('X-R'!C9:'X-R'!AB14)</f>
        <v>0.12</v>
      </c>
      <c r="AH20" s="174">
        <f ca="1">MAX('X-R'!C9:'X-R'!AB14)</f>
        <v>0.26</v>
      </c>
      <c r="AI20" s="174"/>
      <c r="AJ20" s="118">
        <v>16</v>
      </c>
      <c r="AK20" s="119">
        <f ca="1" t="shared" si="1"/>
        <v>0.077725321888412</v>
      </c>
      <c r="AL20" s="118">
        <f ca="1" t="shared" si="0"/>
        <v>0.000336013330438424</v>
      </c>
      <c r="AM20" s="118"/>
      <c r="AN20" s="119">
        <f>$AB$20+2*$AB$19</f>
        <v>0.247632045779685</v>
      </c>
      <c r="AO20" s="118">
        <v>0</v>
      </c>
    </row>
    <row r="21" spans="1:41">
      <c r="A21" s="128"/>
      <c r="B21" s="129"/>
      <c r="C21" s="129"/>
      <c r="D21" s="129"/>
      <c r="E21" s="129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50" t="s">
        <v>116</v>
      </c>
      <c r="R21" s="150"/>
      <c r="S21" s="150"/>
      <c r="T21" s="150"/>
      <c r="U21" s="150"/>
      <c r="V21" s="150"/>
      <c r="W21" s="160">
        <f>IF('X-R'!AC20="","",'X-R'!AC20)</f>
        <v>17.8896812683406</v>
      </c>
      <c r="X21" s="127"/>
      <c r="Y21" s="171"/>
      <c r="AA21" s="173" t="s">
        <v>117</v>
      </c>
      <c r="AB21" s="175">
        <f ca="1">AI19</f>
        <v>0.03</v>
      </c>
      <c r="AF21" s="173" t="s">
        <v>118</v>
      </c>
      <c r="AG21" s="174">
        <f>IF('X-R'!Q6="","",'X-R'!Q6)</f>
        <v>0.165357333333333</v>
      </c>
      <c r="AH21" s="174">
        <f>IF('X-R'!Q4="","",'X-R'!Q4)</f>
        <v>0.231709333333333</v>
      </c>
      <c r="AI21" s="174"/>
      <c r="AJ21" s="118">
        <v>17</v>
      </c>
      <c r="AK21" s="119">
        <f ca="1" t="shared" si="1"/>
        <v>0.083725321888412</v>
      </c>
      <c r="AL21" s="118">
        <f ca="1" t="shared" si="0"/>
        <v>0.00108573231466285</v>
      </c>
      <c r="AM21" s="118"/>
      <c r="AN21" s="119">
        <f>$AB$20+2*$AB$19</f>
        <v>0.247632045779685</v>
      </c>
      <c r="AO21" s="118">
        <f ca="1">$AB$23*0.5</f>
        <v>32.9534143267204</v>
      </c>
    </row>
    <row r="22" spans="1:41">
      <c r="A22" s="128"/>
      <c r="B22" s="129"/>
      <c r="C22" s="129"/>
      <c r="D22" s="129"/>
      <c r="E22" s="129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50" t="s">
        <v>119</v>
      </c>
      <c r="R22" s="127"/>
      <c r="S22" s="150"/>
      <c r="T22" s="150"/>
      <c r="U22" s="150"/>
      <c r="V22" s="150"/>
      <c r="W22" s="161">
        <f>IF('X-R'!AE28="","",'X-R'!AE28)</f>
        <v>0.323555555555555</v>
      </c>
      <c r="X22" s="127"/>
      <c r="Y22" s="171"/>
      <c r="AA22" s="118" t="s">
        <v>120</v>
      </c>
      <c r="AB22" s="176">
        <f ca="1">AB21*SUM(AH5:AH16)</f>
        <v>3.75</v>
      </c>
      <c r="AF22" s="173" t="s">
        <v>121</v>
      </c>
      <c r="AG22" s="174">
        <f>IF('X-R'!K6="","",'X-R'!K6)</f>
        <v>0</v>
      </c>
      <c r="AH22" s="174">
        <f>IF('X-R'!K4="","",'X-R'!K4)</f>
        <v>0.3</v>
      </c>
      <c r="AI22" s="174"/>
      <c r="AJ22" s="118">
        <v>18</v>
      </c>
      <c r="AK22" s="119">
        <f ca="1" t="shared" si="1"/>
        <v>0.089725321888412</v>
      </c>
      <c r="AL22" s="118">
        <f ca="1" t="shared" si="0"/>
        <v>0.00330481256363126</v>
      </c>
      <c r="AM22" s="118"/>
      <c r="AN22" s="119">
        <f>$AB$20+2*$AB$19</f>
        <v>0.247632045779685</v>
      </c>
      <c r="AO22" s="118">
        <v>0</v>
      </c>
    </row>
    <row r="23" spans="1:41">
      <c r="A23" s="128"/>
      <c r="B23" s="129"/>
      <c r="C23" s="129"/>
      <c r="D23" s="129"/>
      <c r="E23" s="129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54" t="s">
        <v>122</v>
      </c>
      <c r="R23" s="127"/>
      <c r="S23" s="127"/>
      <c r="T23" s="127"/>
      <c r="U23" s="127"/>
      <c r="V23" s="127"/>
      <c r="W23" s="158">
        <f>IF(W13="","",(W13-W8)/(3*W18))</f>
        <v>1.37772338772339</v>
      </c>
      <c r="X23" s="127"/>
      <c r="Y23" s="171"/>
      <c r="AA23" s="118" t="s">
        <v>109</v>
      </c>
      <c r="AB23" s="177">
        <f ca="1">MAX(AH6:AH16,AL5:AL55)+5</f>
        <v>65.9068286534409</v>
      </c>
      <c r="AF23" s="173" t="s">
        <v>123</v>
      </c>
      <c r="AG23" s="174">
        <f>AB19*(-4)+AB20</f>
        <v>0.100335908440629</v>
      </c>
      <c r="AH23" s="174">
        <f>AB19*4+AB20</f>
        <v>0.296730758226037</v>
      </c>
      <c r="AI23" s="174"/>
      <c r="AJ23" s="118">
        <v>19</v>
      </c>
      <c r="AK23" s="119">
        <f ca="1" t="shared" si="1"/>
        <v>0.095725321888412</v>
      </c>
      <c r="AL23" s="118">
        <f ca="1" t="shared" si="0"/>
        <v>0.00947607991017659</v>
      </c>
      <c r="AM23" s="118"/>
      <c r="AN23" s="119">
        <f>$AB$20+3*$AB$19</f>
        <v>0.272181402002861</v>
      </c>
      <c r="AO23" s="118">
        <v>0</v>
      </c>
    </row>
    <row r="24" spans="1:41">
      <c r="A24" s="128"/>
      <c r="B24" s="129"/>
      <c r="C24" s="129"/>
      <c r="D24" s="129"/>
      <c r="E24" s="129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54" t="s">
        <v>124</v>
      </c>
      <c r="R24" s="127"/>
      <c r="S24" s="127"/>
      <c r="T24" s="127"/>
      <c r="U24" s="127"/>
      <c r="V24" s="127"/>
      <c r="W24" s="158">
        <f>IF(W14="","",(W8-W14)/(3*W18))</f>
        <v>2.69570318570318</v>
      </c>
      <c r="X24" s="127"/>
      <c r="Y24" s="171"/>
      <c r="AJ24" s="118">
        <v>20</v>
      </c>
      <c r="AK24" s="119">
        <f ca="1" t="shared" si="1"/>
        <v>0.101725321888412</v>
      </c>
      <c r="AL24" s="118">
        <f ca="1" t="shared" si="0"/>
        <v>0.0255957823260628</v>
      </c>
      <c r="AM24" s="118"/>
      <c r="AN24" s="119">
        <f>$AB$20+3*$AB$19</f>
        <v>0.272181402002861</v>
      </c>
      <c r="AO24" s="118">
        <f ca="1">$AB$23*0.7</f>
        <v>46.1347800574086</v>
      </c>
    </row>
    <row r="25" spans="1:41">
      <c r="A25" s="128"/>
      <c r="B25" s="129"/>
      <c r="C25" s="129"/>
      <c r="D25" s="129"/>
      <c r="E25" s="129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50" t="s">
        <v>125</v>
      </c>
      <c r="R25" s="127"/>
      <c r="S25" s="150"/>
      <c r="T25" s="150"/>
      <c r="U25" s="150"/>
      <c r="V25" s="150"/>
      <c r="W25" s="158">
        <f>IF('X-R'!AE30="","",'X-R'!AE30)</f>
        <v>2.03671328671329</v>
      </c>
      <c r="X25" s="127"/>
      <c r="Y25" s="171"/>
      <c r="AJ25" s="118">
        <v>21</v>
      </c>
      <c r="AK25" s="119">
        <f ca="1" t="shared" si="1"/>
        <v>0.107725321888412</v>
      </c>
      <c r="AL25" s="118">
        <f ca="1" t="shared" si="0"/>
        <v>0.0651277259443671</v>
      </c>
      <c r="AM25" s="118"/>
      <c r="AN25" s="119">
        <f>$AB$20+3*$AB$19</f>
        <v>0.272181402002861</v>
      </c>
      <c r="AO25" s="118">
        <v>0</v>
      </c>
    </row>
    <row r="26" spans="1:41">
      <c r="A26" s="128"/>
      <c r="B26" s="129"/>
      <c r="C26" s="129"/>
      <c r="D26" s="129"/>
      <c r="E26" s="129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50" t="s">
        <v>126</v>
      </c>
      <c r="R26" s="127"/>
      <c r="S26" s="150"/>
      <c r="T26" s="150"/>
      <c r="U26" s="150"/>
      <c r="V26" s="150"/>
      <c r="W26" s="158">
        <f>IF('X-R'!AE29="","",'X-R'!AE29)</f>
        <v>1.37772338772339</v>
      </c>
      <c r="X26" s="127"/>
      <c r="Y26" s="171"/>
      <c r="AJ26" s="118">
        <v>22</v>
      </c>
      <c r="AK26" s="119">
        <f ca="1" t="shared" si="1"/>
        <v>0.113725321888412</v>
      </c>
      <c r="AL26" s="118">
        <f ca="1" t="shared" si="0"/>
        <v>0.156106588416844</v>
      </c>
      <c r="AM26" s="118"/>
      <c r="AN26" s="189">
        <f>'X-R'!$K$4</f>
        <v>0.3</v>
      </c>
      <c r="AO26" s="118">
        <v>0</v>
      </c>
    </row>
    <row r="27" spans="1:41">
      <c r="A27" s="128"/>
      <c r="B27" s="129"/>
      <c r="C27" s="129"/>
      <c r="D27" s="129"/>
      <c r="E27" s="129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71"/>
      <c r="AJ27" s="118">
        <v>23</v>
      </c>
      <c r="AK27" s="119">
        <f ca="1" t="shared" si="1"/>
        <v>0.119725321888412</v>
      </c>
      <c r="AL27" s="118">
        <f ca="1" t="shared" si="0"/>
        <v>0.352479905568425</v>
      </c>
      <c r="AM27" s="118"/>
      <c r="AN27" s="189">
        <f>'X-R'!$K$4</f>
        <v>0.3</v>
      </c>
      <c r="AO27" s="177">
        <f ca="1">$AB$23</f>
        <v>65.9068286534409</v>
      </c>
    </row>
    <row r="28" ht="18.35" spans="1:41">
      <c r="A28" s="132"/>
      <c r="B28" s="133"/>
      <c r="C28" s="133"/>
      <c r="D28" s="133"/>
      <c r="E28" s="133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78"/>
      <c r="AJ28" s="118">
        <v>24</v>
      </c>
      <c r="AK28" s="119">
        <f ca="1" t="shared" si="1"/>
        <v>0.125725321888412</v>
      </c>
      <c r="AL28" s="118">
        <f ca="1" t="shared" si="0"/>
        <v>0.749730720481432</v>
      </c>
      <c r="AM28" s="118"/>
      <c r="AN28" s="189">
        <f>'X-R'!$K$4</f>
        <v>0.3</v>
      </c>
      <c r="AO28" s="118">
        <v>0</v>
      </c>
    </row>
    <row r="29" spans="1:41">
      <c r="A29" s="134"/>
      <c r="B29" s="134"/>
      <c r="C29" s="134"/>
      <c r="D29" s="134"/>
      <c r="E29" s="134"/>
      <c r="AJ29" s="118">
        <v>25</v>
      </c>
      <c r="AK29" s="119">
        <f ca="1" t="shared" si="1"/>
        <v>0.131725321888412</v>
      </c>
      <c r="AL29" s="118">
        <f ca="1" t="shared" si="0"/>
        <v>1.50222180673633</v>
      </c>
      <c r="AM29" s="118"/>
      <c r="AN29" s="189">
        <f>'X-R'!$K$6</f>
        <v>0</v>
      </c>
      <c r="AO29" s="118">
        <v>0</v>
      </c>
    </row>
    <row r="30" spans="1:41">
      <c r="A30" s="134"/>
      <c r="B30" s="134"/>
      <c r="C30" s="134"/>
      <c r="D30" s="134"/>
      <c r="E30" s="134"/>
      <c r="AJ30" s="118">
        <v>26</v>
      </c>
      <c r="AK30" s="119">
        <f ca="1" t="shared" si="1"/>
        <v>0.137725321888412</v>
      </c>
      <c r="AL30" s="118">
        <f ca="1" t="shared" si="0"/>
        <v>2.8354410977117</v>
      </c>
      <c r="AM30" s="118"/>
      <c r="AN30" s="189">
        <f>'X-R'!$K$6</f>
        <v>0</v>
      </c>
      <c r="AO30" s="177">
        <f ca="1">$AB$23</f>
        <v>65.9068286534409</v>
      </c>
    </row>
    <row r="31" spans="1:41">
      <c r="A31" s="135"/>
      <c r="B31" s="135"/>
      <c r="C31" s="135"/>
      <c r="D31" s="135"/>
      <c r="E31" s="135"/>
      <c r="AJ31" s="118">
        <v>27</v>
      </c>
      <c r="AK31" s="119">
        <f ca="1" t="shared" si="1"/>
        <v>0.143725321888412</v>
      </c>
      <c r="AL31" s="118">
        <f ca="1" t="shared" si="0"/>
        <v>5.04156081130081</v>
      </c>
      <c r="AM31" s="118"/>
      <c r="AN31" s="189">
        <f>'X-R'!$K$6</f>
        <v>0</v>
      </c>
      <c r="AO31" s="118">
        <v>0</v>
      </c>
    </row>
    <row r="32" spans="1:39">
      <c r="A32" s="135"/>
      <c r="B32" s="135"/>
      <c r="C32" s="135"/>
      <c r="D32" s="135"/>
      <c r="E32" s="135"/>
      <c r="AJ32" s="118">
        <v>28</v>
      </c>
      <c r="AK32" s="119">
        <f ca="1" t="shared" si="1"/>
        <v>0.149725321888412</v>
      </c>
      <c r="AL32" s="118">
        <f ca="1" t="shared" si="0"/>
        <v>8.44436899552843</v>
      </c>
      <c r="AM32" s="118"/>
    </row>
    <row r="33" spans="1:39">
      <c r="A33" s="135"/>
      <c r="B33" s="135"/>
      <c r="C33" s="135"/>
      <c r="D33" s="135"/>
      <c r="E33" s="135"/>
      <c r="AJ33" s="118">
        <v>29</v>
      </c>
      <c r="AK33" s="119">
        <f ca="1" t="shared" si="1"/>
        <v>0.155725321888412</v>
      </c>
      <c r="AL33" s="118">
        <f ca="1" t="shared" si="0"/>
        <v>13.3237724614575</v>
      </c>
      <c r="AM33" s="118"/>
    </row>
    <row r="34" spans="1:39">
      <c r="A34" s="135"/>
      <c r="B34" s="135"/>
      <c r="C34" s="135"/>
      <c r="D34" s="135"/>
      <c r="E34" s="135"/>
      <c r="I34" s="135"/>
      <c r="J34" s="135"/>
      <c r="K34" s="135"/>
      <c r="L34" s="145"/>
      <c r="M34" s="135"/>
      <c r="AJ34" s="118">
        <v>30</v>
      </c>
      <c r="AK34" s="119">
        <f ca="1" t="shared" si="1"/>
        <v>0.161725321888412</v>
      </c>
      <c r="AL34" s="118">
        <f ca="1" t="shared" si="0"/>
        <v>19.8036400741953</v>
      </c>
      <c r="AM34" s="118"/>
    </row>
    <row r="35" spans="1:40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45"/>
      <c r="M35" s="135"/>
      <c r="AJ35" s="118">
        <v>31</v>
      </c>
      <c r="AK35" s="119">
        <f ca="1" t="shared" si="1"/>
        <v>0.167725321888412</v>
      </c>
      <c r="AL35" s="118">
        <f ca="1" t="shared" si="0"/>
        <v>27.7281346330362</v>
      </c>
      <c r="AM35" s="118"/>
      <c r="AN35" s="190"/>
    </row>
    <row r="36" spans="1:40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45"/>
      <c r="M36" s="135"/>
      <c r="AJ36" s="118">
        <v>32</v>
      </c>
      <c r="AK36" s="119">
        <f ca="1" t="shared" si="1"/>
        <v>0.173725321888412</v>
      </c>
      <c r="AL36" s="118">
        <f ca="1" t="shared" si="0"/>
        <v>36.5724534623311</v>
      </c>
      <c r="AM36" s="118"/>
      <c r="AN36" s="190"/>
    </row>
    <row r="37" spans="1:40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45"/>
      <c r="M37" s="135"/>
      <c r="AJ37" s="118">
        <v>33</v>
      </c>
      <c r="AK37" s="119">
        <f ca="1" t="shared" si="1"/>
        <v>0.179725321888412</v>
      </c>
      <c r="AL37" s="118">
        <f ca="1" t="shared" ref="AL37:AL55" si="6">NORMDIST(AK37,$AB$20,$AB$19,FALSE)*$AB$22</f>
        <v>45.4407352861715</v>
      </c>
      <c r="AM37" s="118"/>
      <c r="AN37" s="190"/>
    </row>
    <row r="38" spans="1:40">
      <c r="A38" s="135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45"/>
      <c r="M38" s="135"/>
      <c r="AJ38" s="118">
        <v>34</v>
      </c>
      <c r="AK38" s="119">
        <f ca="1" t="shared" ref="AK38:AK55" si="7">AK37+$AB$21/5</f>
        <v>0.185725321888412</v>
      </c>
      <c r="AL38" s="118">
        <f ca="1" t="shared" si="6"/>
        <v>53.1856433210919</v>
      </c>
      <c r="AM38" s="118"/>
      <c r="AN38" s="118"/>
    </row>
    <row r="39" spans="1:40">
      <c r="A39" s="135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45"/>
      <c r="M39" s="135"/>
      <c r="AJ39" s="118">
        <v>35</v>
      </c>
      <c r="AK39" s="119">
        <f ca="1" t="shared" si="7"/>
        <v>0.191725321888412</v>
      </c>
      <c r="AL39" s="118">
        <f ca="1" t="shared" si="6"/>
        <v>58.6409902722702</v>
      </c>
      <c r="AM39" s="118"/>
      <c r="AN39" s="118"/>
    </row>
    <row r="40" spans="1:40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45"/>
      <c r="M40" s="135"/>
      <c r="AJ40" s="118">
        <v>36</v>
      </c>
      <c r="AK40" s="119">
        <f ca="1" t="shared" si="7"/>
        <v>0.197725321888412</v>
      </c>
      <c r="AL40" s="118">
        <f ca="1" t="shared" si="6"/>
        <v>60.9068286534409</v>
      </c>
      <c r="AM40" s="118"/>
      <c r="AN40" s="118"/>
    </row>
    <row r="41" spans="1:40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45"/>
      <c r="M41" s="135"/>
      <c r="AJ41" s="118">
        <v>37</v>
      </c>
      <c r="AK41" s="119">
        <f ca="1" t="shared" si="7"/>
        <v>0.203725321888412</v>
      </c>
      <c r="AL41" s="118">
        <f ca="1" t="shared" si="6"/>
        <v>59.5920726169995</v>
      </c>
      <c r="AM41" s="118"/>
      <c r="AN41" s="118"/>
    </row>
    <row r="42" spans="1:40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45"/>
      <c r="M42" s="135"/>
      <c r="AJ42" s="118">
        <v>38</v>
      </c>
      <c r="AK42" s="119">
        <f ca="1" t="shared" si="7"/>
        <v>0.209725321888412</v>
      </c>
      <c r="AL42" s="118">
        <f ca="1" t="shared" si="6"/>
        <v>54.9248407535436</v>
      </c>
      <c r="AM42" s="118"/>
      <c r="AN42" s="118"/>
    </row>
    <row r="43" spans="1:40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45"/>
      <c r="M43" s="135"/>
      <c r="AJ43" s="118">
        <v>39</v>
      </c>
      <c r="AK43" s="119">
        <f ca="1" t="shared" si="7"/>
        <v>0.215725321888412</v>
      </c>
      <c r="AL43" s="118">
        <f ca="1" t="shared" si="6"/>
        <v>47.6877612700917</v>
      </c>
      <c r="AM43" s="118"/>
      <c r="AN43" s="118"/>
    </row>
    <row r="44" spans="1:40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45"/>
      <c r="M44" s="135"/>
      <c r="N44" s="135"/>
      <c r="O44" s="135"/>
      <c r="P44" s="135"/>
      <c r="Q44" s="135"/>
      <c r="AJ44" s="118">
        <v>40</v>
      </c>
      <c r="AK44" s="119">
        <f ca="1" t="shared" si="7"/>
        <v>0.221725321888412</v>
      </c>
      <c r="AL44" s="118">
        <f ca="1" t="shared" si="6"/>
        <v>39.0034366762902</v>
      </c>
      <c r="AM44" s="118"/>
      <c r="AN44" s="118"/>
    </row>
    <row r="45" spans="1:40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45"/>
      <c r="M45" s="135"/>
      <c r="N45" s="135"/>
      <c r="O45" s="135"/>
      <c r="P45" s="135"/>
      <c r="Q45" s="135"/>
      <c r="AJ45" s="118">
        <v>41</v>
      </c>
      <c r="AK45" s="119">
        <f ca="1" t="shared" si="7"/>
        <v>0.227725321888412</v>
      </c>
      <c r="AL45" s="118">
        <f ca="1" t="shared" si="6"/>
        <v>30.0508408384275</v>
      </c>
      <c r="AM45" s="118"/>
      <c r="AN45" s="118"/>
    </row>
    <row r="46" spans="1:40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45"/>
      <c r="M46" s="135"/>
      <c r="N46" s="135"/>
      <c r="O46" s="135"/>
      <c r="P46" s="135"/>
      <c r="Q46" s="135"/>
      <c r="AJ46" s="118">
        <v>42</v>
      </c>
      <c r="AK46" s="119">
        <f ca="1" t="shared" si="7"/>
        <v>0.233725321888412</v>
      </c>
      <c r="AL46" s="118">
        <f ca="1" t="shared" si="6"/>
        <v>21.810629159116</v>
      </c>
      <c r="AM46" s="118"/>
      <c r="AN46" s="118"/>
    </row>
    <row r="47" spans="1:40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45"/>
      <c r="M47" s="135"/>
      <c r="N47" s="135"/>
      <c r="O47" s="135"/>
      <c r="P47" s="135"/>
      <c r="Q47" s="135"/>
      <c r="AJ47" s="118">
        <v>43</v>
      </c>
      <c r="AK47" s="119">
        <f ca="1" t="shared" si="7"/>
        <v>0.239725321888412</v>
      </c>
      <c r="AL47" s="118">
        <f ca="1" t="shared" si="6"/>
        <v>14.9120575563684</v>
      </c>
      <c r="AM47" s="118"/>
      <c r="AN47" s="118"/>
    </row>
    <row r="48" spans="1:40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45"/>
      <c r="M48" s="135"/>
      <c r="N48" s="135"/>
      <c r="O48" s="135"/>
      <c r="P48" s="135"/>
      <c r="Q48" s="135"/>
      <c r="AJ48" s="118">
        <v>44</v>
      </c>
      <c r="AK48" s="119">
        <f ca="1" t="shared" si="7"/>
        <v>0.245725321888412</v>
      </c>
      <c r="AL48" s="118">
        <f ca="1" t="shared" si="6"/>
        <v>9.60427885936867</v>
      </c>
      <c r="AM48" s="118"/>
      <c r="AN48" s="118"/>
    </row>
    <row r="49" spans="1:40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45"/>
      <c r="M49" s="135"/>
      <c r="N49" s="135"/>
      <c r="O49" s="135"/>
      <c r="P49" s="135"/>
      <c r="Q49" s="135"/>
      <c r="AJ49" s="118">
        <v>45</v>
      </c>
      <c r="AK49" s="119">
        <f ca="1" t="shared" si="7"/>
        <v>0.251725321888412</v>
      </c>
      <c r="AL49" s="118">
        <f ca="1" t="shared" si="6"/>
        <v>5.8270636718127</v>
      </c>
      <c r="AM49" s="118"/>
      <c r="AN49" s="118"/>
    </row>
    <row r="50" spans="1:40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45"/>
      <c r="M50" s="135"/>
      <c r="N50" s="135"/>
      <c r="O50" s="135"/>
      <c r="P50" s="135"/>
      <c r="Q50" s="135"/>
      <c r="AJ50" s="118">
        <v>46</v>
      </c>
      <c r="AK50" s="119">
        <f ca="1" t="shared" si="7"/>
        <v>0.257725321888412</v>
      </c>
      <c r="AL50" s="118">
        <f ca="1" t="shared" si="6"/>
        <v>3.33037070959382</v>
      </c>
      <c r="AM50" s="118"/>
      <c r="AN50" s="118"/>
    </row>
    <row r="51" spans="1:40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45"/>
      <c r="M51" s="135"/>
      <c r="N51" s="135"/>
      <c r="O51" s="135"/>
      <c r="P51" s="135"/>
      <c r="Q51" s="135"/>
      <c r="AJ51" s="118">
        <v>47</v>
      </c>
      <c r="AK51" s="119">
        <f ca="1" t="shared" si="7"/>
        <v>0.263725321888412</v>
      </c>
      <c r="AL51" s="118">
        <f ca="1" t="shared" si="6"/>
        <v>1.79305332401178</v>
      </c>
      <c r="AM51" s="118"/>
      <c r="AN51" s="118"/>
    </row>
    <row r="52" spans="1:40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45"/>
      <c r="M52" s="135"/>
      <c r="N52" s="135"/>
      <c r="O52" s="135"/>
      <c r="P52" s="135"/>
      <c r="Q52" s="135"/>
      <c r="AJ52" s="118">
        <v>48</v>
      </c>
      <c r="AK52" s="119">
        <f ca="1" t="shared" si="7"/>
        <v>0.269725321888412</v>
      </c>
      <c r="AL52" s="118">
        <f ca="1" t="shared" si="6"/>
        <v>0.909393079120672</v>
      </c>
      <c r="AM52" s="118"/>
      <c r="AN52" s="118"/>
    </row>
    <row r="53" spans="1:40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45"/>
      <c r="M53" s="135"/>
      <c r="N53" s="135"/>
      <c r="O53" s="135"/>
      <c r="P53" s="135"/>
      <c r="Q53" s="135"/>
      <c r="AJ53" s="118">
        <v>49</v>
      </c>
      <c r="AK53" s="119">
        <f ca="1" t="shared" si="7"/>
        <v>0.275725321888412</v>
      </c>
      <c r="AL53" s="118">
        <f ca="1" t="shared" si="6"/>
        <v>0.434478105841311</v>
      </c>
      <c r="AM53" s="118"/>
      <c r="AN53" s="118"/>
    </row>
    <row r="54" spans="1:41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45"/>
      <c r="M54" s="135"/>
      <c r="N54" s="135"/>
      <c r="O54" s="135"/>
      <c r="P54" s="135"/>
      <c r="Q54" s="135"/>
      <c r="AJ54" s="118">
        <v>50</v>
      </c>
      <c r="AK54" s="119">
        <f ca="1" t="shared" si="7"/>
        <v>0.281725321888412</v>
      </c>
      <c r="AL54" s="118">
        <f ca="1" t="shared" si="6"/>
        <v>0.195542858932857</v>
      </c>
      <c r="AM54" s="118"/>
      <c r="AN54" s="118"/>
      <c r="AO54" s="179"/>
    </row>
    <row r="55" spans="1:41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45"/>
      <c r="M55" s="135"/>
      <c r="N55" s="135"/>
      <c r="O55" s="135"/>
      <c r="P55" s="135"/>
      <c r="Q55" s="135"/>
      <c r="AJ55" s="118">
        <v>51</v>
      </c>
      <c r="AK55" s="119">
        <f ca="1" t="shared" si="7"/>
        <v>0.287725321888412</v>
      </c>
      <c r="AL55" s="118">
        <f ca="1" t="shared" si="6"/>
        <v>0.0829036853614174</v>
      </c>
      <c r="AM55" s="118"/>
      <c r="AN55" s="118"/>
      <c r="AO55" s="179"/>
    </row>
    <row r="56" spans="1:41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45"/>
      <c r="M56" s="135"/>
      <c r="N56" s="135"/>
      <c r="O56" s="135"/>
      <c r="P56" s="135"/>
      <c r="Q56" s="135"/>
      <c r="AL56" s="118"/>
      <c r="AM56" s="118"/>
      <c r="AN56" s="118"/>
      <c r="AO56" s="179"/>
    </row>
    <row r="57" spans="1:41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45"/>
      <c r="M57" s="135"/>
      <c r="N57" s="135"/>
      <c r="O57" s="135"/>
      <c r="P57" s="135"/>
      <c r="Q57" s="135"/>
      <c r="AK57" s="119">
        <f ca="1">90*AB21</f>
        <v>2.7</v>
      </c>
      <c r="AL57" s="118">
        <f ca="1">SUM(AL5:AL56)*(AK55-AK5)/50</f>
        <v>3.74968734848708</v>
      </c>
      <c r="AM57" s="118"/>
      <c r="AN57" s="118"/>
      <c r="AO57" s="179"/>
    </row>
    <row r="58" spans="1:41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45"/>
      <c r="M58" s="135"/>
      <c r="N58" s="135"/>
      <c r="O58" s="135"/>
      <c r="P58" s="135"/>
      <c r="Q58" s="135"/>
      <c r="AO58" s="179"/>
    </row>
    <row r="59" spans="1:41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45"/>
      <c r="M59" s="135"/>
      <c r="N59" s="135"/>
      <c r="O59" s="135"/>
      <c r="P59" s="135"/>
      <c r="Q59" s="135"/>
      <c r="AO59" s="179"/>
    </row>
    <row r="60" spans="1:41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45"/>
      <c r="M60" s="135"/>
      <c r="N60" s="135"/>
      <c r="O60" s="135"/>
      <c r="P60" s="135"/>
      <c r="Q60" s="135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91"/>
      <c r="AL60" s="191"/>
      <c r="AM60" s="191"/>
      <c r="AN60" s="191"/>
      <c r="AO60" s="179"/>
    </row>
    <row r="61" spans="1:41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45"/>
      <c r="M61" s="145"/>
      <c r="N61" s="145"/>
      <c r="O61" s="145"/>
      <c r="P61" s="145"/>
      <c r="Q61" s="155"/>
      <c r="R61" s="155"/>
      <c r="S61" s="155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91"/>
      <c r="AL61" s="191"/>
      <c r="AM61" s="191"/>
      <c r="AN61" s="191"/>
      <c r="AO61" s="179"/>
    </row>
    <row r="62" spans="1:41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45"/>
      <c r="M62" s="145"/>
      <c r="N62" s="145"/>
      <c r="O62" s="145"/>
      <c r="P62" s="145"/>
      <c r="Q62" s="155"/>
      <c r="R62" s="155"/>
      <c r="S62" s="155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91"/>
      <c r="AL62" s="191"/>
      <c r="AM62" s="191"/>
      <c r="AN62" s="191"/>
      <c r="AO62" s="179"/>
    </row>
    <row r="63" spans="1:41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45"/>
      <c r="M63" s="145"/>
      <c r="N63" s="145"/>
      <c r="O63" s="145"/>
      <c r="P63" s="145"/>
      <c r="Q63" s="155"/>
      <c r="R63" s="155"/>
      <c r="S63" s="155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91"/>
      <c r="AL63" s="191"/>
      <c r="AM63" s="191"/>
      <c r="AN63" s="191"/>
      <c r="AO63" s="179"/>
    </row>
    <row r="64" spans="1:41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45"/>
      <c r="M64" s="145"/>
      <c r="N64" s="145"/>
      <c r="O64" s="145"/>
      <c r="P64" s="14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91"/>
      <c r="AL64" s="191"/>
      <c r="AM64" s="191"/>
      <c r="AN64" s="191"/>
      <c r="AO64" s="179"/>
    </row>
    <row r="65" spans="1:41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45"/>
      <c r="M65" s="145"/>
      <c r="N65" s="145"/>
      <c r="O65" s="145"/>
      <c r="P65" s="14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91"/>
      <c r="AL65" s="191"/>
      <c r="AM65" s="191"/>
      <c r="AN65" s="191"/>
      <c r="AO65" s="179"/>
    </row>
    <row r="66" spans="1:41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45"/>
      <c r="M66" s="145"/>
      <c r="N66" s="145"/>
      <c r="O66" s="145"/>
      <c r="P66" s="14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91"/>
      <c r="AL66" s="191"/>
      <c r="AM66" s="191"/>
      <c r="AN66" s="191"/>
      <c r="AO66" s="179"/>
    </row>
    <row r="67" spans="1:41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45"/>
      <c r="M67" s="145"/>
      <c r="N67" s="145"/>
      <c r="O67" s="145"/>
      <c r="P67" s="14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91"/>
      <c r="AL67" s="191"/>
      <c r="AM67" s="191"/>
      <c r="AN67" s="191"/>
      <c r="AO67" s="179"/>
    </row>
    <row r="68" spans="1:41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45"/>
      <c r="M68" s="145"/>
      <c r="N68" s="145"/>
      <c r="O68" s="145"/>
      <c r="P68" s="14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91"/>
      <c r="AL68" s="191"/>
      <c r="AM68" s="191"/>
      <c r="AN68" s="191"/>
      <c r="AO68" s="179"/>
    </row>
    <row r="69" spans="1:41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45"/>
      <c r="M69" s="145"/>
      <c r="N69" s="145"/>
      <c r="O69" s="145"/>
      <c r="P69" s="14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91"/>
      <c r="AL69" s="191"/>
      <c r="AM69" s="191"/>
      <c r="AN69" s="191"/>
      <c r="AO69" s="179"/>
    </row>
    <row r="70" spans="1:41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45"/>
      <c r="M70" s="145"/>
      <c r="N70" s="145"/>
      <c r="O70" s="145"/>
      <c r="P70" s="14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91"/>
      <c r="AL70" s="191"/>
      <c r="AM70" s="191"/>
      <c r="AN70" s="191"/>
      <c r="AO70" s="179"/>
    </row>
    <row r="71" spans="1:41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45"/>
      <c r="M71" s="145"/>
      <c r="N71" s="145"/>
      <c r="O71" s="145"/>
      <c r="P71" s="14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91"/>
      <c r="AL71" s="191"/>
      <c r="AM71" s="191"/>
      <c r="AN71" s="191"/>
      <c r="AO71" s="179"/>
    </row>
    <row r="72" spans="1:41">
      <c r="A72" s="135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45"/>
      <c r="M72" s="145"/>
      <c r="N72" s="145"/>
      <c r="O72" s="145"/>
      <c r="P72" s="14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91"/>
      <c r="AL72" s="191"/>
      <c r="AM72" s="191"/>
      <c r="AN72" s="191"/>
      <c r="AO72" s="179"/>
    </row>
    <row r="73" spans="1:41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45"/>
      <c r="M73" s="145"/>
      <c r="N73" s="145"/>
      <c r="O73" s="145"/>
      <c r="P73" s="14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91"/>
      <c r="AL73" s="191"/>
      <c r="AM73" s="191"/>
      <c r="AN73" s="191"/>
      <c r="AO73" s="179"/>
    </row>
    <row r="74" spans="1:41">
      <c r="A74" s="135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45"/>
      <c r="M74" s="145"/>
      <c r="N74" s="145"/>
      <c r="O74" s="145"/>
      <c r="P74" s="14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91"/>
      <c r="AL74" s="191"/>
      <c r="AM74" s="191"/>
      <c r="AN74" s="191"/>
      <c r="AO74" s="179"/>
    </row>
    <row r="75" spans="1:41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45"/>
      <c r="M75" s="145"/>
      <c r="N75" s="145"/>
      <c r="O75" s="145"/>
      <c r="P75" s="14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91"/>
      <c r="AL75" s="191"/>
      <c r="AM75" s="191"/>
      <c r="AN75" s="191"/>
      <c r="AO75" s="179"/>
    </row>
    <row r="76" spans="1:41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45"/>
      <c r="M76" s="145"/>
      <c r="N76" s="145"/>
      <c r="O76" s="145"/>
      <c r="P76" s="14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91"/>
      <c r="AL76" s="191"/>
      <c r="AM76" s="191"/>
      <c r="AN76" s="191"/>
      <c r="AO76" s="179"/>
    </row>
    <row r="77" spans="1:41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45"/>
      <c r="M77" s="145"/>
      <c r="N77" s="145"/>
      <c r="O77" s="145"/>
      <c r="P77" s="14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91"/>
      <c r="AL77" s="191"/>
      <c r="AM77" s="191"/>
      <c r="AN77" s="191"/>
      <c r="AO77" s="179"/>
    </row>
    <row r="78" spans="1:41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45"/>
      <c r="M78" s="145"/>
      <c r="N78" s="145"/>
      <c r="O78" s="145"/>
      <c r="P78" s="14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91"/>
      <c r="AL78" s="191"/>
      <c r="AM78" s="191"/>
      <c r="AN78" s="191"/>
      <c r="AO78" s="179"/>
    </row>
    <row r="79" spans="1:41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45"/>
      <c r="M79" s="145"/>
      <c r="N79" s="145"/>
      <c r="O79" s="145"/>
      <c r="P79" s="14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91"/>
      <c r="AL79" s="191"/>
      <c r="AM79" s="191"/>
      <c r="AN79" s="191"/>
      <c r="AO79" s="179"/>
    </row>
    <row r="80" spans="1:41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45"/>
      <c r="M80" s="145"/>
      <c r="N80" s="145"/>
      <c r="O80" s="145"/>
      <c r="P80" s="14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91"/>
      <c r="AL80" s="191"/>
      <c r="AM80" s="191"/>
      <c r="AN80" s="191"/>
      <c r="AO80" s="179"/>
    </row>
    <row r="81" spans="1:41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45"/>
      <c r="M81" s="145"/>
      <c r="N81" s="145"/>
      <c r="O81" s="145"/>
      <c r="P81" s="14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91"/>
      <c r="AL81" s="191"/>
      <c r="AM81" s="191"/>
      <c r="AN81" s="191"/>
      <c r="AO81" s="179"/>
    </row>
    <row r="82" spans="1:41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45"/>
      <c r="M82" s="145"/>
      <c r="N82" s="145"/>
      <c r="O82" s="145"/>
      <c r="P82" s="14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91"/>
      <c r="AL82" s="191"/>
      <c r="AM82" s="191"/>
      <c r="AN82" s="191"/>
      <c r="AO82" s="179"/>
    </row>
    <row r="83" spans="1:41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45"/>
      <c r="M83" s="145"/>
      <c r="N83" s="145"/>
      <c r="O83" s="145"/>
      <c r="P83" s="14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91"/>
      <c r="AL83" s="191"/>
      <c r="AM83" s="191"/>
      <c r="AN83" s="191"/>
      <c r="AO83" s="179"/>
    </row>
    <row r="84" spans="1:41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45"/>
      <c r="M84" s="145"/>
      <c r="N84" s="145"/>
      <c r="O84" s="145"/>
      <c r="P84" s="14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91"/>
      <c r="AL84" s="191"/>
      <c r="AM84" s="191"/>
      <c r="AN84" s="191"/>
      <c r="AO84" s="179"/>
    </row>
    <row r="85" spans="1:41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45"/>
      <c r="M85" s="145"/>
      <c r="N85" s="145"/>
      <c r="O85" s="145"/>
      <c r="P85" s="14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91"/>
      <c r="AL85" s="191"/>
      <c r="AM85" s="191"/>
      <c r="AN85" s="191"/>
      <c r="AO85" s="179"/>
    </row>
    <row r="86" spans="1:41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45"/>
      <c r="M86" s="145"/>
      <c r="N86" s="145"/>
      <c r="O86" s="145"/>
      <c r="P86" s="14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91"/>
      <c r="AL86" s="191"/>
      <c r="AM86" s="191"/>
      <c r="AN86" s="191"/>
      <c r="AO86" s="179"/>
    </row>
    <row r="87" spans="1:41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45"/>
      <c r="M87" s="145"/>
      <c r="N87" s="145"/>
      <c r="O87" s="145"/>
      <c r="P87" s="14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91"/>
      <c r="AL87" s="191"/>
      <c r="AM87" s="191"/>
      <c r="AN87" s="191"/>
      <c r="AO87" s="179"/>
    </row>
    <row r="88" spans="1:41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45"/>
      <c r="M88" s="145"/>
      <c r="N88" s="145"/>
      <c r="O88" s="145"/>
      <c r="P88" s="14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91"/>
      <c r="AL88" s="191"/>
      <c r="AM88" s="191"/>
      <c r="AN88" s="191"/>
      <c r="AO88" s="179"/>
    </row>
    <row r="89" spans="1:41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45"/>
      <c r="M89" s="145"/>
      <c r="N89" s="145"/>
      <c r="O89" s="145"/>
      <c r="P89" s="14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91"/>
      <c r="AL89" s="191"/>
      <c r="AM89" s="191"/>
      <c r="AN89" s="191"/>
      <c r="AO89" s="179"/>
    </row>
    <row r="90" spans="1:41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45"/>
      <c r="M90" s="145"/>
      <c r="N90" s="145"/>
      <c r="O90" s="145"/>
      <c r="P90" s="14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91"/>
      <c r="AL90" s="191"/>
      <c r="AM90" s="191"/>
      <c r="AN90" s="191"/>
      <c r="AO90" s="179"/>
    </row>
    <row r="91" spans="1:41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45"/>
      <c r="M91" s="145"/>
      <c r="N91" s="145"/>
      <c r="O91" s="145"/>
      <c r="P91" s="14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91"/>
      <c r="AL91" s="191"/>
      <c r="AM91" s="191"/>
      <c r="AN91" s="191"/>
      <c r="AO91" s="179"/>
    </row>
    <row r="92" spans="1:41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45"/>
      <c r="M92" s="145"/>
      <c r="N92" s="145"/>
      <c r="O92" s="145"/>
      <c r="P92" s="14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91"/>
      <c r="AL92" s="191"/>
      <c r="AM92" s="191"/>
      <c r="AN92" s="191"/>
      <c r="AO92" s="179"/>
    </row>
    <row r="93" spans="1:41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45"/>
      <c r="M93" s="145"/>
      <c r="N93" s="145"/>
      <c r="O93" s="145"/>
      <c r="P93" s="14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91"/>
      <c r="AL93" s="191"/>
      <c r="AM93" s="191"/>
      <c r="AN93" s="191"/>
      <c r="AO93" s="179"/>
    </row>
    <row r="94" spans="1:41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45"/>
      <c r="M94" s="145"/>
      <c r="N94" s="145"/>
      <c r="O94" s="145"/>
      <c r="P94" s="14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91"/>
      <c r="AL94" s="191"/>
      <c r="AM94" s="191"/>
      <c r="AN94" s="191"/>
      <c r="AO94" s="179"/>
    </row>
    <row r="95" spans="1:41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45"/>
      <c r="M95" s="145"/>
      <c r="N95" s="145"/>
      <c r="O95" s="145"/>
      <c r="P95" s="14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91"/>
      <c r="AL95" s="191"/>
      <c r="AM95" s="191"/>
      <c r="AN95" s="191"/>
      <c r="AO95" s="179"/>
    </row>
    <row r="96" spans="1:41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45"/>
      <c r="M96" s="145"/>
      <c r="N96" s="145"/>
      <c r="O96" s="145"/>
      <c r="P96" s="14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91"/>
      <c r="AL96" s="191"/>
      <c r="AM96" s="191"/>
      <c r="AN96" s="191"/>
      <c r="AO96" s="179"/>
    </row>
    <row r="97" spans="1:41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45"/>
      <c r="M97" s="145"/>
      <c r="N97" s="145"/>
      <c r="O97" s="145"/>
      <c r="P97" s="14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91"/>
      <c r="AL97" s="191"/>
      <c r="AM97" s="191"/>
      <c r="AN97" s="191"/>
      <c r="AO97" s="179"/>
    </row>
    <row r="98" spans="1:41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45"/>
      <c r="M98" s="145"/>
      <c r="N98" s="145"/>
      <c r="O98" s="145"/>
      <c r="P98" s="14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91"/>
      <c r="AL98" s="191"/>
      <c r="AM98" s="191"/>
      <c r="AN98" s="191"/>
      <c r="AO98" s="179"/>
    </row>
    <row r="99" spans="1:41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45"/>
      <c r="M99" s="145"/>
      <c r="N99" s="145"/>
      <c r="O99" s="145"/>
      <c r="P99" s="14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91"/>
      <c r="AL99" s="191"/>
      <c r="AM99" s="191"/>
      <c r="AN99" s="191"/>
      <c r="AO99" s="179"/>
    </row>
    <row r="100" spans="1:41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45"/>
      <c r="M100" s="145"/>
      <c r="N100" s="145"/>
      <c r="O100" s="145"/>
      <c r="P100" s="14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91"/>
      <c r="AL100" s="191"/>
      <c r="AM100" s="191"/>
      <c r="AN100" s="191"/>
      <c r="AO100" s="179"/>
    </row>
    <row r="101" spans="1:41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45"/>
      <c r="M101" s="145"/>
      <c r="N101" s="145"/>
      <c r="O101" s="145"/>
      <c r="P101" s="14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91"/>
      <c r="AL101" s="191"/>
      <c r="AM101" s="191"/>
      <c r="AN101" s="191"/>
      <c r="AO101" s="179"/>
    </row>
    <row r="102" spans="1:41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45"/>
      <c r="M102" s="145"/>
      <c r="N102" s="145"/>
      <c r="O102" s="145"/>
      <c r="P102" s="14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91"/>
      <c r="AL102" s="191"/>
      <c r="AM102" s="191"/>
      <c r="AN102" s="191"/>
      <c r="AO102" s="179"/>
    </row>
    <row r="103" spans="1:40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45"/>
      <c r="M103" s="145"/>
      <c r="N103" s="145"/>
      <c r="O103" s="145"/>
      <c r="P103" s="14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91"/>
      <c r="AL103" s="191"/>
      <c r="AM103" s="191"/>
      <c r="AN103" s="191"/>
    </row>
    <row r="104" spans="1:40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45"/>
      <c r="M104" s="145"/>
      <c r="N104" s="145"/>
      <c r="O104" s="145"/>
      <c r="P104" s="14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91"/>
      <c r="AL104" s="191"/>
      <c r="AM104" s="191"/>
      <c r="AN104" s="191"/>
    </row>
    <row r="105" spans="12:40"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91"/>
      <c r="AL105" s="191"/>
      <c r="AM105" s="191"/>
      <c r="AN105" s="191"/>
    </row>
    <row r="106" spans="12:41"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91"/>
      <c r="AL106" s="191"/>
      <c r="AM106" s="191"/>
      <c r="AN106" s="191"/>
      <c r="AO106" s="193"/>
    </row>
    <row r="107" spans="12:41"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91"/>
      <c r="AL107" s="191"/>
      <c r="AM107" s="191"/>
      <c r="AN107" s="191"/>
      <c r="AO107" s="193"/>
    </row>
    <row r="108" spans="12:41"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91"/>
      <c r="AL108" s="191"/>
      <c r="AM108" s="191"/>
      <c r="AN108" s="191"/>
      <c r="AO108" s="193"/>
    </row>
    <row r="109" spans="12:41"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O109" s="193"/>
    </row>
    <row r="110" spans="20:41">
      <c r="T110" s="155"/>
      <c r="U110" s="155"/>
      <c r="V110" s="155"/>
      <c r="W110" s="155"/>
      <c r="X110" s="155"/>
      <c r="Y110" s="155"/>
      <c r="Z110" s="155"/>
      <c r="AO110" s="193"/>
    </row>
    <row r="111" spans="20:41">
      <c r="T111" s="155"/>
      <c r="U111" s="155"/>
      <c r="V111" s="155"/>
      <c r="W111" s="155"/>
      <c r="X111" s="155"/>
      <c r="Y111" s="155"/>
      <c r="Z111" s="155"/>
      <c r="AO111" s="193"/>
    </row>
    <row r="112" spans="20:41">
      <c r="T112" s="155"/>
      <c r="U112" s="155"/>
      <c r="V112" s="155"/>
      <c r="W112" s="155"/>
      <c r="X112" s="155"/>
      <c r="Y112" s="155"/>
      <c r="Z112" s="155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4"/>
      <c r="AL112" s="194"/>
      <c r="AM112" s="194"/>
      <c r="AN112" s="194"/>
      <c r="AO112" s="193"/>
    </row>
    <row r="113" spans="1:41">
      <c r="A113" s="192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4"/>
      <c r="AL113" s="194"/>
      <c r="AM113" s="194"/>
      <c r="AN113" s="194"/>
      <c r="AO113" s="193"/>
    </row>
    <row r="114" spans="1:41">
      <c r="A114" s="192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4"/>
      <c r="AL114" s="194"/>
      <c r="AM114" s="194"/>
      <c r="AN114" s="194"/>
      <c r="AO114" s="193"/>
    </row>
    <row r="115" spans="1:41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4"/>
      <c r="AL115" s="194"/>
      <c r="AM115" s="194"/>
      <c r="AN115" s="194"/>
      <c r="AO115" s="193"/>
    </row>
    <row r="116" spans="1:41">
      <c r="A116" s="192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4"/>
      <c r="AL116" s="194"/>
      <c r="AM116" s="194"/>
      <c r="AN116" s="194"/>
      <c r="AO116" s="193"/>
    </row>
    <row r="117" spans="1:41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4"/>
      <c r="AL117" s="194"/>
      <c r="AM117" s="194"/>
      <c r="AN117" s="194"/>
      <c r="AO117" s="193"/>
    </row>
    <row r="118" spans="1:41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4"/>
      <c r="AL118" s="194"/>
      <c r="AM118" s="194"/>
      <c r="AN118" s="194"/>
      <c r="AO118" s="193"/>
    </row>
    <row r="119" spans="1:41">
      <c r="A119" s="192"/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4"/>
      <c r="AL119" s="194"/>
      <c r="AM119" s="194"/>
      <c r="AN119" s="194"/>
      <c r="AO119" s="193"/>
    </row>
    <row r="120" spans="1:41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4"/>
      <c r="AL120" s="194"/>
      <c r="AM120" s="194"/>
      <c r="AN120" s="194"/>
      <c r="AO120" s="193"/>
    </row>
    <row r="121" spans="1:41">
      <c r="A121" s="192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4"/>
      <c r="AL121" s="194"/>
      <c r="AM121" s="194"/>
      <c r="AN121" s="194"/>
      <c r="AO121" s="193"/>
    </row>
    <row r="122" spans="1:41">
      <c r="A122" s="192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4"/>
      <c r="AL122" s="194"/>
      <c r="AM122" s="194"/>
      <c r="AN122" s="194"/>
      <c r="AO122" s="193"/>
    </row>
    <row r="123" spans="1:41">
      <c r="A123" s="192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4"/>
      <c r="AL123" s="194"/>
      <c r="AM123" s="194"/>
      <c r="AN123" s="194"/>
      <c r="AO123" s="193"/>
    </row>
    <row r="124" spans="1:41">
      <c r="A124" s="192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3"/>
      <c r="AK124" s="194"/>
      <c r="AL124" s="194"/>
      <c r="AM124" s="194"/>
      <c r="AN124" s="194"/>
      <c r="AO124" s="193"/>
    </row>
    <row r="125" spans="1:41">
      <c r="A125" s="192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3"/>
      <c r="AK125" s="194"/>
      <c r="AL125" s="194"/>
      <c r="AM125" s="194"/>
      <c r="AN125" s="194"/>
      <c r="AO125" s="193"/>
    </row>
    <row r="126" spans="1:41">
      <c r="A126" s="192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4"/>
      <c r="AL126" s="194"/>
      <c r="AM126" s="194"/>
      <c r="AN126" s="194"/>
      <c r="AO126" s="193"/>
    </row>
    <row r="127" spans="1:41">
      <c r="A127" s="192"/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3"/>
      <c r="AK127" s="194"/>
      <c r="AL127" s="194"/>
      <c r="AM127" s="194"/>
      <c r="AN127" s="194"/>
      <c r="AO127" s="193"/>
    </row>
    <row r="128" spans="1:41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4"/>
      <c r="AL128" s="194"/>
      <c r="AM128" s="194"/>
      <c r="AN128" s="194"/>
      <c r="AO128" s="193"/>
    </row>
    <row r="129" spans="1:41">
      <c r="A129" s="192"/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4"/>
      <c r="AL129" s="194"/>
      <c r="AM129" s="194"/>
      <c r="AN129" s="194"/>
      <c r="AO129" s="193"/>
    </row>
    <row r="130" spans="1:41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4"/>
      <c r="AL130" s="194"/>
      <c r="AM130" s="194"/>
      <c r="AN130" s="194"/>
      <c r="AO130" s="193"/>
    </row>
    <row r="131" spans="1:41">
      <c r="A131" s="192"/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4"/>
      <c r="AL131" s="194"/>
      <c r="AM131" s="194"/>
      <c r="AN131" s="194"/>
      <c r="AO131" s="193"/>
    </row>
    <row r="132" spans="1:41">
      <c r="A132" s="192"/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4"/>
      <c r="AL132" s="194"/>
      <c r="AM132" s="194"/>
      <c r="AN132" s="194"/>
      <c r="AO132" s="193"/>
    </row>
    <row r="133" spans="1:41">
      <c r="A133" s="192"/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3"/>
      <c r="AK133" s="194"/>
      <c r="AL133" s="194"/>
      <c r="AM133" s="194"/>
      <c r="AN133" s="194"/>
      <c r="AO133" s="193"/>
    </row>
    <row r="134" spans="1:41">
      <c r="A134" s="192"/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3"/>
      <c r="AB134" s="193"/>
      <c r="AC134" s="193"/>
      <c r="AD134" s="193"/>
      <c r="AE134" s="193"/>
      <c r="AF134" s="193"/>
      <c r="AG134" s="193"/>
      <c r="AH134" s="193"/>
      <c r="AI134" s="193"/>
      <c r="AJ134" s="193"/>
      <c r="AK134" s="194"/>
      <c r="AL134" s="194"/>
      <c r="AM134" s="194"/>
      <c r="AN134" s="194"/>
      <c r="AO134" s="193"/>
    </row>
    <row r="135" spans="1:41">
      <c r="A135" s="192"/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3"/>
      <c r="AK135" s="194"/>
      <c r="AL135" s="194"/>
      <c r="AM135" s="194"/>
      <c r="AN135" s="194"/>
      <c r="AO135" s="193"/>
    </row>
    <row r="136" spans="1:41">
      <c r="A136" s="192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3"/>
      <c r="AB136" s="193"/>
      <c r="AC136" s="193"/>
      <c r="AD136" s="193"/>
      <c r="AE136" s="193"/>
      <c r="AF136" s="193"/>
      <c r="AG136" s="193"/>
      <c r="AH136" s="193"/>
      <c r="AI136" s="193"/>
      <c r="AJ136" s="193"/>
      <c r="AK136" s="194"/>
      <c r="AL136" s="194"/>
      <c r="AM136" s="194"/>
      <c r="AN136" s="194"/>
      <c r="AO136" s="193"/>
    </row>
    <row r="137" spans="1:41">
      <c r="A137" s="192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194"/>
      <c r="AL137" s="194"/>
      <c r="AM137" s="194"/>
      <c r="AN137" s="194"/>
      <c r="AO137" s="193"/>
    </row>
    <row r="138" spans="1:41">
      <c r="A138" s="192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4"/>
      <c r="AL138" s="194"/>
      <c r="AM138" s="194"/>
      <c r="AN138" s="194"/>
      <c r="AO138" s="193"/>
    </row>
    <row r="139" spans="1:41">
      <c r="A139" s="192"/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3"/>
      <c r="AB139" s="193"/>
      <c r="AC139" s="193"/>
      <c r="AD139" s="193"/>
      <c r="AE139" s="193"/>
      <c r="AF139" s="193"/>
      <c r="AG139" s="193"/>
      <c r="AH139" s="193"/>
      <c r="AI139" s="193"/>
      <c r="AJ139" s="193"/>
      <c r="AK139" s="194"/>
      <c r="AL139" s="194"/>
      <c r="AM139" s="194"/>
      <c r="AN139" s="194"/>
      <c r="AO139" s="193"/>
    </row>
    <row r="140" spans="1:41">
      <c r="A140" s="192"/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3"/>
      <c r="AB140" s="193"/>
      <c r="AC140" s="193"/>
      <c r="AD140" s="193"/>
      <c r="AE140" s="193"/>
      <c r="AF140" s="193"/>
      <c r="AG140" s="193"/>
      <c r="AH140" s="193"/>
      <c r="AI140" s="193"/>
      <c r="AJ140" s="193"/>
      <c r="AK140" s="194"/>
      <c r="AL140" s="194"/>
      <c r="AM140" s="194"/>
      <c r="AN140" s="194"/>
      <c r="AO140" s="193"/>
    </row>
    <row r="141" spans="1:41">
      <c r="A141" s="192"/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3"/>
      <c r="AB141" s="193"/>
      <c r="AC141" s="193"/>
      <c r="AD141" s="193"/>
      <c r="AE141" s="193"/>
      <c r="AF141" s="193"/>
      <c r="AG141" s="193"/>
      <c r="AH141" s="193"/>
      <c r="AI141" s="193"/>
      <c r="AJ141" s="193"/>
      <c r="AK141" s="194"/>
      <c r="AL141" s="194"/>
      <c r="AM141" s="194"/>
      <c r="AN141" s="194"/>
      <c r="AO141" s="193"/>
    </row>
    <row r="142" spans="1:41">
      <c r="A142" s="192"/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194"/>
      <c r="AL142" s="194"/>
      <c r="AM142" s="194"/>
      <c r="AN142" s="194"/>
      <c r="AO142" s="193"/>
    </row>
    <row r="143" spans="1:41">
      <c r="A143" s="192"/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4"/>
      <c r="AL143" s="194"/>
      <c r="AM143" s="194"/>
      <c r="AN143" s="194"/>
      <c r="AO143" s="193"/>
    </row>
    <row r="144" spans="1:41">
      <c r="A144" s="192"/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3"/>
      <c r="AK144" s="194"/>
      <c r="AL144" s="194"/>
      <c r="AM144" s="194"/>
      <c r="AN144" s="194"/>
      <c r="AO144" s="193"/>
    </row>
    <row r="145" spans="1:41">
      <c r="A145" s="192"/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194"/>
      <c r="AL145" s="194"/>
      <c r="AM145" s="194"/>
      <c r="AN145" s="194"/>
      <c r="AO145" s="193"/>
    </row>
    <row r="146" spans="1:41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3"/>
      <c r="AK146" s="194"/>
      <c r="AL146" s="194"/>
      <c r="AM146" s="194"/>
      <c r="AN146" s="194"/>
      <c r="AO146" s="193"/>
    </row>
    <row r="147" spans="1:41">
      <c r="A147" s="192"/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3"/>
      <c r="AK147" s="194"/>
      <c r="AL147" s="194"/>
      <c r="AM147" s="194"/>
      <c r="AN147" s="194"/>
      <c r="AO147" s="193"/>
    </row>
    <row r="148" spans="1:41">
      <c r="A148" s="192"/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3"/>
      <c r="AK148" s="194"/>
      <c r="AL148" s="194"/>
      <c r="AM148" s="194"/>
      <c r="AN148" s="194"/>
      <c r="AO148" s="193"/>
    </row>
    <row r="149" spans="1:41">
      <c r="A149" s="192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194"/>
      <c r="AL149" s="194"/>
      <c r="AM149" s="194"/>
      <c r="AN149" s="194"/>
      <c r="AO149" s="193"/>
    </row>
    <row r="150" spans="1:41">
      <c r="A150" s="192"/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3"/>
      <c r="AB150" s="193"/>
      <c r="AC150" s="193"/>
      <c r="AD150" s="193"/>
      <c r="AE150" s="193"/>
      <c r="AF150" s="193"/>
      <c r="AG150" s="193"/>
      <c r="AH150" s="193"/>
      <c r="AI150" s="193"/>
      <c r="AJ150" s="193"/>
      <c r="AK150" s="194"/>
      <c r="AL150" s="194"/>
      <c r="AM150" s="194"/>
      <c r="AN150" s="194"/>
      <c r="AO150" s="193"/>
    </row>
    <row r="151" spans="1:41">
      <c r="A151" s="192"/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194"/>
      <c r="AL151" s="194"/>
      <c r="AM151" s="194"/>
      <c r="AN151" s="194"/>
      <c r="AO151" s="193"/>
    </row>
    <row r="152" spans="1:41">
      <c r="A152" s="192"/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194"/>
      <c r="AL152" s="194"/>
      <c r="AM152" s="194"/>
      <c r="AN152" s="194"/>
      <c r="AO152" s="193"/>
    </row>
    <row r="153" spans="1:41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4"/>
      <c r="AL153" s="194"/>
      <c r="AM153" s="194"/>
      <c r="AN153" s="194"/>
      <c r="AO153" s="193"/>
    </row>
    <row r="154" spans="1:41">
      <c r="A154" s="192"/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3"/>
      <c r="AK154" s="194"/>
      <c r="AL154" s="194"/>
      <c r="AM154" s="194"/>
      <c r="AN154" s="194"/>
      <c r="AO154" s="193"/>
    </row>
    <row r="155" spans="1:41">
      <c r="A155" s="192"/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3"/>
      <c r="AB155" s="193"/>
      <c r="AC155" s="193"/>
      <c r="AD155" s="193"/>
      <c r="AE155" s="193"/>
      <c r="AF155" s="193"/>
      <c r="AG155" s="193"/>
      <c r="AH155" s="193"/>
      <c r="AI155" s="193"/>
      <c r="AJ155" s="193"/>
      <c r="AK155" s="194"/>
      <c r="AL155" s="194"/>
      <c r="AM155" s="194"/>
      <c r="AN155" s="194"/>
      <c r="AO155" s="193"/>
    </row>
    <row r="156" spans="1:41">
      <c r="A156" s="192"/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3"/>
      <c r="AB156" s="193"/>
      <c r="AC156" s="193"/>
      <c r="AD156" s="193"/>
      <c r="AE156" s="193"/>
      <c r="AF156" s="193"/>
      <c r="AG156" s="193"/>
      <c r="AH156" s="193"/>
      <c r="AI156" s="193"/>
      <c r="AJ156" s="193"/>
      <c r="AK156" s="194"/>
      <c r="AL156" s="194"/>
      <c r="AM156" s="194"/>
      <c r="AN156" s="194"/>
      <c r="AO156" s="193"/>
    </row>
    <row r="157" spans="1:41">
      <c r="A157" s="192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194"/>
      <c r="AL157" s="194"/>
      <c r="AM157" s="194"/>
      <c r="AN157" s="194"/>
      <c r="AO157" s="193"/>
    </row>
    <row r="158" spans="1:41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3"/>
      <c r="AB158" s="193"/>
      <c r="AC158" s="193"/>
      <c r="AD158" s="193"/>
      <c r="AE158" s="193"/>
      <c r="AF158" s="193"/>
      <c r="AG158" s="193"/>
      <c r="AH158" s="193"/>
      <c r="AI158" s="193"/>
      <c r="AJ158" s="193"/>
      <c r="AK158" s="194"/>
      <c r="AL158" s="194"/>
      <c r="AM158" s="194"/>
      <c r="AN158" s="194"/>
      <c r="AO158" s="193"/>
    </row>
    <row r="159" spans="1:41">
      <c r="A159" s="19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4"/>
      <c r="AL159" s="194"/>
      <c r="AM159" s="194"/>
      <c r="AN159" s="194"/>
      <c r="AO159" s="193"/>
    </row>
    <row r="160" spans="1:41">
      <c r="A160" s="192"/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4"/>
      <c r="AL160" s="194"/>
      <c r="AM160" s="194"/>
      <c r="AN160" s="194"/>
      <c r="AO160" s="193"/>
    </row>
    <row r="161" spans="1:41">
      <c r="A161" s="192"/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4"/>
      <c r="AL161" s="194"/>
      <c r="AM161" s="194"/>
      <c r="AN161" s="194"/>
      <c r="AO161" s="193"/>
    </row>
    <row r="162" spans="1:41">
      <c r="A162" s="192"/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4"/>
      <c r="AL162" s="194"/>
      <c r="AM162" s="194"/>
      <c r="AN162" s="194"/>
      <c r="AO162" s="193"/>
    </row>
    <row r="163" spans="1:41">
      <c r="A163" s="192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4"/>
      <c r="AL163" s="194"/>
      <c r="AM163" s="194"/>
      <c r="AN163" s="194"/>
      <c r="AO163" s="193"/>
    </row>
    <row r="164" spans="1:41">
      <c r="A164" s="192"/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4"/>
      <c r="AL164" s="194"/>
      <c r="AM164" s="194"/>
      <c r="AN164" s="194"/>
      <c r="AO164" s="193"/>
    </row>
    <row r="165" spans="1:41">
      <c r="A165" s="192"/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4"/>
      <c r="AL165" s="194"/>
      <c r="AM165" s="194"/>
      <c r="AN165" s="194"/>
      <c r="AO165" s="193"/>
    </row>
    <row r="166" spans="1:41">
      <c r="A166" s="192"/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4"/>
      <c r="AL166" s="194"/>
      <c r="AM166" s="194"/>
      <c r="AN166" s="194"/>
      <c r="AO166" s="193"/>
    </row>
    <row r="167" spans="1:41">
      <c r="A167" s="192"/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3"/>
      <c r="AB167" s="193"/>
      <c r="AC167" s="193"/>
      <c r="AD167" s="193"/>
      <c r="AE167" s="193"/>
      <c r="AF167" s="193"/>
      <c r="AG167" s="193"/>
      <c r="AH167" s="193"/>
      <c r="AI167" s="193"/>
      <c r="AJ167" s="193"/>
      <c r="AK167" s="194"/>
      <c r="AL167" s="194"/>
      <c r="AM167" s="194"/>
      <c r="AN167" s="194"/>
      <c r="AO167" s="193"/>
    </row>
    <row r="168" spans="1:41">
      <c r="A168" s="19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4"/>
      <c r="AL168" s="194"/>
      <c r="AM168" s="194"/>
      <c r="AN168" s="194"/>
      <c r="AO168" s="193"/>
    </row>
    <row r="169" spans="1:41">
      <c r="A169" s="192"/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193"/>
      <c r="AB169" s="193"/>
      <c r="AC169" s="193"/>
      <c r="AD169" s="193"/>
      <c r="AE169" s="193"/>
      <c r="AF169" s="193"/>
      <c r="AG169" s="193"/>
      <c r="AH169" s="193"/>
      <c r="AI169" s="193"/>
      <c r="AJ169" s="193"/>
      <c r="AK169" s="194"/>
      <c r="AL169" s="194"/>
      <c r="AM169" s="194"/>
      <c r="AN169" s="194"/>
      <c r="AO169" s="193"/>
    </row>
    <row r="170" spans="1:41">
      <c r="A170" s="192"/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  <c r="AA170" s="193"/>
      <c r="AB170" s="193"/>
      <c r="AC170" s="193"/>
      <c r="AD170" s="193"/>
      <c r="AE170" s="193"/>
      <c r="AF170" s="193"/>
      <c r="AG170" s="193"/>
      <c r="AH170" s="193"/>
      <c r="AI170" s="193"/>
      <c r="AJ170" s="193"/>
      <c r="AK170" s="194"/>
      <c r="AL170" s="194"/>
      <c r="AM170" s="194"/>
      <c r="AN170" s="194"/>
      <c r="AO170" s="193"/>
    </row>
    <row r="171" spans="1:41">
      <c r="A171" s="192"/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3"/>
      <c r="AK171" s="194"/>
      <c r="AL171" s="194"/>
      <c r="AM171" s="194"/>
      <c r="AN171" s="194"/>
      <c r="AO171" s="193"/>
    </row>
    <row r="172" spans="1:41">
      <c r="A172" s="192"/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3"/>
      <c r="AK172" s="194"/>
      <c r="AL172" s="194"/>
      <c r="AM172" s="194"/>
      <c r="AN172" s="194"/>
      <c r="AO172" s="193"/>
    </row>
    <row r="173" spans="1:41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3"/>
      <c r="AB173" s="193"/>
      <c r="AC173" s="193"/>
      <c r="AD173" s="193"/>
      <c r="AE173" s="193"/>
      <c r="AF173" s="193"/>
      <c r="AG173" s="193"/>
      <c r="AH173" s="193"/>
      <c r="AI173" s="193"/>
      <c r="AJ173" s="193"/>
      <c r="AK173" s="194"/>
      <c r="AL173" s="194"/>
      <c r="AM173" s="194"/>
      <c r="AN173" s="194"/>
      <c r="AO173" s="193"/>
    </row>
    <row r="174" spans="1:41">
      <c r="A174" s="192"/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3"/>
      <c r="AK174" s="194"/>
      <c r="AL174" s="194"/>
      <c r="AM174" s="194"/>
      <c r="AN174" s="194"/>
      <c r="AO174" s="193"/>
    </row>
    <row r="175" spans="1:41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  <c r="AA175" s="193"/>
      <c r="AB175" s="193"/>
      <c r="AC175" s="193"/>
      <c r="AD175" s="193"/>
      <c r="AE175" s="193"/>
      <c r="AF175" s="193"/>
      <c r="AG175" s="193"/>
      <c r="AH175" s="193"/>
      <c r="AI175" s="193"/>
      <c r="AJ175" s="193"/>
      <c r="AK175" s="194"/>
      <c r="AL175" s="194"/>
      <c r="AM175" s="194"/>
      <c r="AN175" s="194"/>
      <c r="AO175" s="193"/>
    </row>
    <row r="176" spans="1:41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3"/>
      <c r="AK176" s="194"/>
      <c r="AL176" s="194"/>
      <c r="AM176" s="194"/>
      <c r="AN176" s="194"/>
      <c r="AO176" s="193"/>
    </row>
    <row r="177" spans="1:41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3"/>
      <c r="AB177" s="193"/>
      <c r="AC177" s="193"/>
      <c r="AD177" s="193"/>
      <c r="AE177" s="193"/>
      <c r="AF177" s="193"/>
      <c r="AG177" s="193"/>
      <c r="AH177" s="193"/>
      <c r="AI177" s="193"/>
      <c r="AJ177" s="193"/>
      <c r="AK177" s="194"/>
      <c r="AL177" s="194"/>
      <c r="AM177" s="194"/>
      <c r="AN177" s="194"/>
      <c r="AO177" s="193"/>
    </row>
    <row r="178" spans="1:41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3"/>
      <c r="AB178" s="193"/>
      <c r="AC178" s="193"/>
      <c r="AD178" s="193"/>
      <c r="AE178" s="193"/>
      <c r="AF178" s="193"/>
      <c r="AG178" s="193"/>
      <c r="AH178" s="193"/>
      <c r="AI178" s="193"/>
      <c r="AJ178" s="193"/>
      <c r="AK178" s="194"/>
      <c r="AL178" s="194"/>
      <c r="AM178" s="194"/>
      <c r="AN178" s="194"/>
      <c r="AO178" s="193"/>
    </row>
    <row r="179" spans="1:41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3"/>
      <c r="AB179" s="193"/>
      <c r="AC179" s="193"/>
      <c r="AD179" s="193"/>
      <c r="AE179" s="193"/>
      <c r="AF179" s="193"/>
      <c r="AG179" s="193"/>
      <c r="AH179" s="193"/>
      <c r="AI179" s="193"/>
      <c r="AJ179" s="193"/>
      <c r="AK179" s="194"/>
      <c r="AL179" s="194"/>
      <c r="AM179" s="194"/>
      <c r="AN179" s="194"/>
      <c r="AO179" s="193"/>
    </row>
    <row r="180" spans="1:41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4"/>
      <c r="AL180" s="194"/>
      <c r="AM180" s="194"/>
      <c r="AN180" s="194"/>
      <c r="AO180" s="193"/>
    </row>
    <row r="181" spans="1:41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4"/>
      <c r="AL181" s="194"/>
      <c r="AM181" s="194"/>
      <c r="AN181" s="194"/>
      <c r="AO181" s="193"/>
    </row>
    <row r="182" spans="1:41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3"/>
      <c r="AK182" s="194"/>
      <c r="AL182" s="194"/>
      <c r="AM182" s="194"/>
      <c r="AN182" s="194"/>
      <c r="AO182" s="193"/>
    </row>
    <row r="183" spans="1:41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3"/>
      <c r="AK183" s="194"/>
      <c r="AL183" s="194"/>
      <c r="AM183" s="194"/>
      <c r="AN183" s="194"/>
      <c r="AO183" s="193"/>
    </row>
    <row r="184" spans="1:41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3"/>
      <c r="AB184" s="193"/>
      <c r="AC184" s="193"/>
      <c r="AD184" s="193"/>
      <c r="AE184" s="193"/>
      <c r="AF184" s="193"/>
      <c r="AG184" s="193"/>
      <c r="AH184" s="193"/>
      <c r="AI184" s="193"/>
      <c r="AJ184" s="193"/>
      <c r="AK184" s="194"/>
      <c r="AL184" s="194"/>
      <c r="AM184" s="194"/>
      <c r="AN184" s="194"/>
      <c r="AO184" s="193"/>
    </row>
    <row r="185" spans="1:41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3"/>
      <c r="AB185" s="193"/>
      <c r="AC185" s="193"/>
      <c r="AD185" s="193"/>
      <c r="AE185" s="193"/>
      <c r="AF185" s="193"/>
      <c r="AG185" s="193"/>
      <c r="AH185" s="193"/>
      <c r="AI185" s="193"/>
      <c r="AJ185" s="193"/>
      <c r="AK185" s="194"/>
      <c r="AL185" s="194"/>
      <c r="AM185" s="194"/>
      <c r="AN185" s="194"/>
      <c r="AO185" s="193"/>
    </row>
    <row r="186" spans="1:41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3"/>
      <c r="AB186" s="193"/>
      <c r="AC186" s="193"/>
      <c r="AD186" s="193"/>
      <c r="AE186" s="193"/>
      <c r="AF186" s="193"/>
      <c r="AG186" s="193"/>
      <c r="AH186" s="193"/>
      <c r="AI186" s="193"/>
      <c r="AJ186" s="193"/>
      <c r="AK186" s="194"/>
      <c r="AL186" s="194"/>
      <c r="AM186" s="194"/>
      <c r="AN186" s="194"/>
      <c r="AO186" s="193"/>
    </row>
    <row r="187" spans="1:41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3"/>
      <c r="AB187" s="193"/>
      <c r="AC187" s="193"/>
      <c r="AD187" s="193"/>
      <c r="AE187" s="193"/>
      <c r="AF187" s="193"/>
      <c r="AG187" s="193"/>
      <c r="AH187" s="193"/>
      <c r="AI187" s="193"/>
      <c r="AJ187" s="193"/>
      <c r="AK187" s="194"/>
      <c r="AL187" s="194"/>
      <c r="AM187" s="194"/>
      <c r="AN187" s="194"/>
      <c r="AO187" s="193"/>
    </row>
    <row r="188" spans="1:41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3"/>
      <c r="AK188" s="194"/>
      <c r="AL188" s="194"/>
      <c r="AM188" s="194"/>
      <c r="AN188" s="194"/>
      <c r="AO188" s="193"/>
    </row>
    <row r="189" spans="1:41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4"/>
      <c r="AL189" s="194"/>
      <c r="AM189" s="194"/>
      <c r="AN189" s="194"/>
      <c r="AO189" s="193"/>
    </row>
    <row r="190" spans="1:41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4"/>
      <c r="AL190" s="194"/>
      <c r="AM190" s="194"/>
      <c r="AN190" s="194"/>
      <c r="AO190" s="193"/>
    </row>
    <row r="191" spans="1:41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4"/>
      <c r="AL191" s="194"/>
      <c r="AM191" s="194"/>
      <c r="AN191" s="194"/>
      <c r="AO191" s="193"/>
    </row>
    <row r="192" spans="1:41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4"/>
      <c r="AL192" s="194"/>
      <c r="AM192" s="194"/>
      <c r="AN192" s="194"/>
      <c r="AO192" s="193"/>
    </row>
    <row r="193" spans="1:41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4"/>
      <c r="AL193" s="194"/>
      <c r="AM193" s="194"/>
      <c r="AN193" s="194"/>
      <c r="AO193" s="193"/>
    </row>
    <row r="194" spans="1:41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4"/>
      <c r="AL194" s="194"/>
      <c r="AM194" s="194"/>
      <c r="AN194" s="194"/>
      <c r="AO194" s="193"/>
    </row>
    <row r="195" spans="1:41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3"/>
      <c r="AB195" s="193"/>
      <c r="AC195" s="193"/>
      <c r="AD195" s="193"/>
      <c r="AE195" s="193"/>
      <c r="AF195" s="193"/>
      <c r="AG195" s="193"/>
      <c r="AH195" s="193"/>
      <c r="AI195" s="193"/>
      <c r="AJ195" s="193"/>
      <c r="AK195" s="194"/>
      <c r="AL195" s="194"/>
      <c r="AM195" s="194"/>
      <c r="AN195" s="194"/>
      <c r="AO195" s="193"/>
    </row>
    <row r="196" spans="1:41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3"/>
      <c r="AB196" s="193"/>
      <c r="AC196" s="193"/>
      <c r="AD196" s="193"/>
      <c r="AE196" s="193"/>
      <c r="AF196" s="193"/>
      <c r="AG196" s="193"/>
      <c r="AH196" s="193"/>
      <c r="AI196" s="193"/>
      <c r="AJ196" s="193"/>
      <c r="AK196" s="194"/>
      <c r="AL196" s="194"/>
      <c r="AM196" s="194"/>
      <c r="AN196" s="194"/>
      <c r="AO196" s="193"/>
    </row>
    <row r="197" spans="1:41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3"/>
      <c r="AB197" s="193"/>
      <c r="AC197" s="193"/>
      <c r="AD197" s="193"/>
      <c r="AE197" s="193"/>
      <c r="AF197" s="193"/>
      <c r="AG197" s="193"/>
      <c r="AH197" s="193"/>
      <c r="AI197" s="193"/>
      <c r="AJ197" s="193"/>
      <c r="AK197" s="194"/>
      <c r="AL197" s="194"/>
      <c r="AM197" s="194"/>
      <c r="AN197" s="194"/>
      <c r="AO197" s="193"/>
    </row>
    <row r="198" spans="1:41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3"/>
      <c r="AB198" s="193"/>
      <c r="AC198" s="193"/>
      <c r="AD198" s="193"/>
      <c r="AE198" s="193"/>
      <c r="AF198" s="193"/>
      <c r="AG198" s="193"/>
      <c r="AH198" s="193"/>
      <c r="AI198" s="193"/>
      <c r="AJ198" s="193"/>
      <c r="AK198" s="194"/>
      <c r="AL198" s="194"/>
      <c r="AM198" s="194"/>
      <c r="AN198" s="194"/>
      <c r="AO198" s="193"/>
    </row>
    <row r="199" spans="1:41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3"/>
      <c r="AB199" s="193"/>
      <c r="AC199" s="193"/>
      <c r="AD199" s="193"/>
      <c r="AE199" s="193"/>
      <c r="AF199" s="193"/>
      <c r="AG199" s="193"/>
      <c r="AH199" s="193"/>
      <c r="AI199" s="193"/>
      <c r="AJ199" s="193"/>
      <c r="AK199" s="194"/>
      <c r="AL199" s="194"/>
      <c r="AM199" s="194"/>
      <c r="AN199" s="194"/>
      <c r="AO199" s="193"/>
    </row>
    <row r="200" spans="1:41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3"/>
      <c r="AB200" s="193"/>
      <c r="AC200" s="193"/>
      <c r="AD200" s="193"/>
      <c r="AE200" s="193"/>
      <c r="AF200" s="193"/>
      <c r="AG200" s="193"/>
      <c r="AH200" s="193"/>
      <c r="AI200" s="193"/>
      <c r="AJ200" s="193"/>
      <c r="AK200" s="194"/>
      <c r="AL200" s="194"/>
      <c r="AM200" s="194"/>
      <c r="AN200" s="194"/>
      <c r="AO200" s="193"/>
    </row>
    <row r="201" spans="1:41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3"/>
      <c r="AB201" s="193"/>
      <c r="AC201" s="193"/>
      <c r="AD201" s="193"/>
      <c r="AE201" s="193"/>
      <c r="AF201" s="193"/>
      <c r="AG201" s="193"/>
      <c r="AH201" s="193"/>
      <c r="AI201" s="193"/>
      <c r="AJ201" s="193"/>
      <c r="AK201" s="194"/>
      <c r="AL201" s="194"/>
      <c r="AM201" s="194"/>
      <c r="AN201" s="194"/>
      <c r="AO201" s="193"/>
    </row>
    <row r="202" spans="1:41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3"/>
      <c r="AB202" s="193"/>
      <c r="AC202" s="193"/>
      <c r="AD202" s="193"/>
      <c r="AE202" s="193"/>
      <c r="AF202" s="193"/>
      <c r="AG202" s="193"/>
      <c r="AH202" s="193"/>
      <c r="AI202" s="193"/>
      <c r="AJ202" s="193"/>
      <c r="AK202" s="194"/>
      <c r="AL202" s="194"/>
      <c r="AM202" s="194"/>
      <c r="AN202" s="194"/>
      <c r="AO202" s="193"/>
    </row>
    <row r="203" spans="1:41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  <c r="AA203" s="193"/>
      <c r="AB203" s="193"/>
      <c r="AC203" s="193"/>
      <c r="AD203" s="193"/>
      <c r="AE203" s="193"/>
      <c r="AF203" s="193"/>
      <c r="AG203" s="193"/>
      <c r="AH203" s="193"/>
      <c r="AI203" s="193"/>
      <c r="AJ203" s="193"/>
      <c r="AK203" s="194"/>
      <c r="AL203" s="194"/>
      <c r="AM203" s="194"/>
      <c r="AN203" s="194"/>
      <c r="AO203" s="193"/>
    </row>
    <row r="204" spans="1:41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4"/>
      <c r="AL204" s="194"/>
      <c r="AM204" s="194"/>
      <c r="AN204" s="194"/>
      <c r="AO204" s="193"/>
    </row>
    <row r="205" spans="1:41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4"/>
      <c r="AL205" s="194"/>
      <c r="AM205" s="194"/>
      <c r="AN205" s="194"/>
      <c r="AO205" s="193"/>
    </row>
    <row r="206" spans="1:41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4"/>
      <c r="AL206" s="194"/>
      <c r="AM206" s="194"/>
      <c r="AN206" s="194"/>
      <c r="AO206" s="193"/>
    </row>
    <row r="207" spans="1:41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4"/>
      <c r="AL207" s="194"/>
      <c r="AM207" s="194"/>
      <c r="AN207" s="194"/>
      <c r="AO207" s="193"/>
    </row>
    <row r="208" spans="1:41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4"/>
      <c r="AL208" s="194"/>
      <c r="AM208" s="194"/>
      <c r="AN208" s="194"/>
      <c r="AO208" s="193"/>
    </row>
    <row r="209" spans="1:41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4"/>
      <c r="AL209" s="194"/>
      <c r="AM209" s="194"/>
      <c r="AN209" s="194"/>
      <c r="AO209" s="193"/>
    </row>
    <row r="210" spans="1:41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4"/>
      <c r="AL210" s="194"/>
      <c r="AM210" s="194"/>
      <c r="AN210" s="194"/>
      <c r="AO210" s="193"/>
    </row>
    <row r="211" spans="1:41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4"/>
      <c r="AL211" s="194"/>
      <c r="AM211" s="194"/>
      <c r="AN211" s="194"/>
      <c r="AO211" s="193"/>
    </row>
    <row r="212" spans="1:41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4"/>
      <c r="AL212" s="194"/>
      <c r="AM212" s="194"/>
      <c r="AN212" s="194"/>
      <c r="AO212" s="193"/>
    </row>
    <row r="213" spans="1:41">
      <c r="A213" s="192"/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4"/>
      <c r="AL213" s="194"/>
      <c r="AM213" s="194"/>
      <c r="AN213" s="194"/>
      <c r="AO213" s="193"/>
    </row>
    <row r="214" spans="1:41">
      <c r="A214" s="192"/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3"/>
      <c r="AB214" s="193"/>
      <c r="AC214" s="193"/>
      <c r="AD214" s="193"/>
      <c r="AE214" s="193"/>
      <c r="AF214" s="193"/>
      <c r="AG214" s="193"/>
      <c r="AH214" s="193"/>
      <c r="AI214" s="193"/>
      <c r="AJ214" s="193"/>
      <c r="AK214" s="194"/>
      <c r="AL214" s="194"/>
      <c r="AM214" s="194"/>
      <c r="AN214" s="194"/>
      <c r="AO214" s="193"/>
    </row>
    <row r="215" spans="1:41">
      <c r="A215" s="192"/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  <c r="AA215" s="193"/>
      <c r="AB215" s="193"/>
      <c r="AC215" s="193"/>
      <c r="AD215" s="193"/>
      <c r="AE215" s="193"/>
      <c r="AF215" s="193"/>
      <c r="AG215" s="193"/>
      <c r="AH215" s="193"/>
      <c r="AI215" s="193"/>
      <c r="AJ215" s="193"/>
      <c r="AK215" s="194"/>
      <c r="AL215" s="194"/>
      <c r="AM215" s="194"/>
      <c r="AN215" s="194"/>
      <c r="AO215" s="193"/>
    </row>
    <row r="216" spans="1:41">
      <c r="A216" s="192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4"/>
      <c r="AL216" s="194"/>
      <c r="AM216" s="194"/>
      <c r="AN216" s="194"/>
      <c r="AO216" s="193"/>
    </row>
    <row r="217" spans="1:41">
      <c r="A217" s="192"/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3"/>
      <c r="AK217" s="194"/>
      <c r="AL217" s="194"/>
      <c r="AM217" s="194"/>
      <c r="AN217" s="194"/>
      <c r="AO217" s="193"/>
    </row>
    <row r="218" spans="1:41">
      <c r="A218" s="192"/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3"/>
      <c r="AB218" s="193"/>
      <c r="AC218" s="193"/>
      <c r="AD218" s="193"/>
      <c r="AE218" s="193"/>
      <c r="AF218" s="193"/>
      <c r="AG218" s="193"/>
      <c r="AH218" s="193"/>
      <c r="AI218" s="193"/>
      <c r="AJ218" s="193"/>
      <c r="AK218" s="194"/>
      <c r="AL218" s="194"/>
      <c r="AM218" s="194"/>
      <c r="AN218" s="194"/>
      <c r="AO218" s="193"/>
    </row>
    <row r="219" spans="1:41">
      <c r="A219" s="192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3"/>
      <c r="AB219" s="193"/>
      <c r="AC219" s="193"/>
      <c r="AD219" s="193"/>
      <c r="AE219" s="193"/>
      <c r="AF219" s="193"/>
      <c r="AG219" s="193"/>
      <c r="AH219" s="193"/>
      <c r="AI219" s="193"/>
      <c r="AJ219" s="193"/>
      <c r="AK219" s="194"/>
      <c r="AL219" s="194"/>
      <c r="AM219" s="194"/>
      <c r="AN219" s="194"/>
      <c r="AO219" s="193"/>
    </row>
    <row r="220" spans="1:41">
      <c r="A220" s="192"/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3"/>
      <c r="AB220" s="193"/>
      <c r="AC220" s="193"/>
      <c r="AD220" s="193"/>
      <c r="AE220" s="193"/>
      <c r="AF220" s="193"/>
      <c r="AG220" s="193"/>
      <c r="AH220" s="193"/>
      <c r="AI220" s="193"/>
      <c r="AJ220" s="193"/>
      <c r="AK220" s="194"/>
      <c r="AL220" s="194"/>
      <c r="AM220" s="194"/>
      <c r="AN220" s="194"/>
      <c r="AO220" s="193"/>
    </row>
    <row r="221" spans="1:41">
      <c r="A221" s="192"/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3"/>
      <c r="AB221" s="193"/>
      <c r="AC221" s="193"/>
      <c r="AD221" s="193"/>
      <c r="AE221" s="193"/>
      <c r="AF221" s="193"/>
      <c r="AG221" s="193"/>
      <c r="AH221" s="193"/>
      <c r="AI221" s="193"/>
      <c r="AJ221" s="193"/>
      <c r="AK221" s="194"/>
      <c r="AL221" s="194"/>
      <c r="AM221" s="194"/>
      <c r="AN221" s="194"/>
      <c r="AO221" s="193"/>
    </row>
    <row r="222" spans="1:41">
      <c r="A222" s="192"/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4"/>
      <c r="AL222" s="194"/>
      <c r="AM222" s="194"/>
      <c r="AN222" s="194"/>
      <c r="AO222" s="193"/>
    </row>
    <row r="223" spans="1:41">
      <c r="A223" s="192"/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4"/>
      <c r="AL223" s="194"/>
      <c r="AM223" s="194"/>
      <c r="AN223" s="194"/>
      <c r="AO223" s="193"/>
    </row>
    <row r="224" spans="1:41">
      <c r="A224" s="192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4"/>
      <c r="AL224" s="194"/>
      <c r="AM224" s="194"/>
      <c r="AN224" s="194"/>
      <c r="AO224" s="193"/>
    </row>
    <row r="225" spans="1:41">
      <c r="A225" s="192"/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4"/>
      <c r="AL225" s="194"/>
      <c r="AM225" s="194"/>
      <c r="AN225" s="194"/>
      <c r="AO225" s="193"/>
    </row>
    <row r="226" spans="1:41">
      <c r="A226" s="192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4"/>
      <c r="AL226" s="194"/>
      <c r="AM226" s="194"/>
      <c r="AN226" s="194"/>
      <c r="AO226" s="193"/>
    </row>
    <row r="227" spans="1:41">
      <c r="A227" s="19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4"/>
      <c r="AL227" s="194"/>
      <c r="AM227" s="194"/>
      <c r="AN227" s="194"/>
      <c r="AO227" s="193"/>
    </row>
    <row r="228" spans="1:41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4"/>
      <c r="AL228" s="194"/>
      <c r="AM228" s="194"/>
      <c r="AN228" s="194"/>
      <c r="AO228" s="193"/>
    </row>
    <row r="229" spans="1:41">
      <c r="A229" s="192"/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4"/>
      <c r="AL229" s="194"/>
      <c r="AM229" s="194"/>
      <c r="AN229" s="194"/>
      <c r="AO229" s="193"/>
    </row>
    <row r="230" spans="1:41">
      <c r="A230" s="192"/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4"/>
      <c r="AL230" s="194"/>
      <c r="AM230" s="194"/>
      <c r="AN230" s="194"/>
      <c r="AO230" s="193"/>
    </row>
    <row r="231" spans="1:41">
      <c r="A231" s="192"/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  <c r="AA231" s="193"/>
      <c r="AB231" s="193"/>
      <c r="AC231" s="193"/>
      <c r="AD231" s="193"/>
      <c r="AE231" s="193"/>
      <c r="AF231" s="193"/>
      <c r="AG231" s="193"/>
      <c r="AH231" s="193"/>
      <c r="AI231" s="193"/>
      <c r="AJ231" s="193"/>
      <c r="AK231" s="194"/>
      <c r="AL231" s="194"/>
      <c r="AM231" s="194"/>
      <c r="AN231" s="194"/>
      <c r="AO231" s="193"/>
    </row>
    <row r="232" spans="1:41">
      <c r="A232" s="192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  <c r="AA232" s="193"/>
      <c r="AB232" s="193"/>
      <c r="AC232" s="193"/>
      <c r="AD232" s="193"/>
      <c r="AE232" s="193"/>
      <c r="AF232" s="193"/>
      <c r="AG232" s="193"/>
      <c r="AH232" s="193"/>
      <c r="AI232" s="193"/>
      <c r="AJ232" s="193"/>
      <c r="AK232" s="194"/>
      <c r="AL232" s="194"/>
      <c r="AM232" s="194"/>
      <c r="AN232" s="194"/>
      <c r="AO232" s="193"/>
    </row>
    <row r="233" spans="1:41">
      <c r="A233" s="192"/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  <c r="AA233" s="193"/>
      <c r="AB233" s="193"/>
      <c r="AC233" s="193"/>
      <c r="AD233" s="193"/>
      <c r="AE233" s="193"/>
      <c r="AF233" s="193"/>
      <c r="AG233" s="193"/>
      <c r="AH233" s="193"/>
      <c r="AI233" s="193"/>
      <c r="AJ233" s="193"/>
      <c r="AK233" s="194"/>
      <c r="AL233" s="194"/>
      <c r="AM233" s="194"/>
      <c r="AN233" s="194"/>
      <c r="AO233" s="193"/>
    </row>
    <row r="234" spans="1:41">
      <c r="A234" s="192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3"/>
      <c r="AB234" s="193"/>
      <c r="AC234" s="193"/>
      <c r="AD234" s="193"/>
      <c r="AE234" s="193"/>
      <c r="AF234" s="193"/>
      <c r="AG234" s="193"/>
      <c r="AH234" s="193"/>
      <c r="AI234" s="193"/>
      <c r="AJ234" s="193"/>
      <c r="AK234" s="194"/>
      <c r="AL234" s="194"/>
      <c r="AM234" s="194"/>
      <c r="AN234" s="194"/>
      <c r="AO234" s="193"/>
    </row>
    <row r="235" spans="1:41">
      <c r="A235" s="19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  <c r="AA235" s="193"/>
      <c r="AB235" s="193"/>
      <c r="AC235" s="193"/>
      <c r="AD235" s="193"/>
      <c r="AE235" s="193"/>
      <c r="AF235" s="193"/>
      <c r="AG235" s="193"/>
      <c r="AH235" s="193"/>
      <c r="AI235" s="193"/>
      <c r="AJ235" s="193"/>
      <c r="AK235" s="194"/>
      <c r="AL235" s="194"/>
      <c r="AM235" s="194"/>
      <c r="AN235" s="194"/>
      <c r="AO235" s="193"/>
    </row>
    <row r="236" spans="1:41">
      <c r="A236" s="192"/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  <c r="AA236" s="193"/>
      <c r="AB236" s="193"/>
      <c r="AC236" s="193"/>
      <c r="AD236" s="193"/>
      <c r="AE236" s="193"/>
      <c r="AF236" s="193"/>
      <c r="AG236" s="193"/>
      <c r="AH236" s="193"/>
      <c r="AI236" s="193"/>
      <c r="AJ236" s="193"/>
      <c r="AK236" s="194"/>
      <c r="AL236" s="194"/>
      <c r="AM236" s="194"/>
      <c r="AN236" s="194"/>
      <c r="AO236" s="193"/>
    </row>
    <row r="237" spans="1:41">
      <c r="A237" s="192"/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3"/>
      <c r="AB237" s="193"/>
      <c r="AC237" s="193"/>
      <c r="AD237" s="193"/>
      <c r="AE237" s="193"/>
      <c r="AF237" s="193"/>
      <c r="AG237" s="193"/>
      <c r="AH237" s="193"/>
      <c r="AI237" s="193"/>
      <c r="AJ237" s="193"/>
      <c r="AK237" s="194"/>
      <c r="AL237" s="194"/>
      <c r="AM237" s="194"/>
      <c r="AN237" s="194"/>
      <c r="AO237" s="193"/>
    </row>
    <row r="238" spans="1:41">
      <c r="A238" s="192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3"/>
      <c r="AB238" s="193"/>
      <c r="AC238" s="193"/>
      <c r="AD238" s="193"/>
      <c r="AE238" s="193"/>
      <c r="AF238" s="193"/>
      <c r="AG238" s="193"/>
      <c r="AH238" s="193"/>
      <c r="AI238" s="193"/>
      <c r="AJ238" s="193"/>
      <c r="AK238" s="194"/>
      <c r="AL238" s="194"/>
      <c r="AM238" s="194"/>
      <c r="AN238" s="194"/>
      <c r="AO238" s="193"/>
    </row>
    <row r="239" spans="1:41">
      <c r="A239" s="192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  <c r="AA239" s="193"/>
      <c r="AB239" s="193"/>
      <c r="AC239" s="193"/>
      <c r="AD239" s="193"/>
      <c r="AE239" s="193"/>
      <c r="AF239" s="193"/>
      <c r="AG239" s="193"/>
      <c r="AH239" s="193"/>
      <c r="AI239" s="193"/>
      <c r="AJ239" s="193"/>
      <c r="AK239" s="194"/>
      <c r="AL239" s="194"/>
      <c r="AM239" s="194"/>
      <c r="AN239" s="194"/>
      <c r="AO239" s="193"/>
    </row>
    <row r="240" spans="1:41">
      <c r="A240" s="192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3"/>
      <c r="AB240" s="193"/>
      <c r="AC240" s="193"/>
      <c r="AD240" s="193"/>
      <c r="AE240" s="193"/>
      <c r="AF240" s="193"/>
      <c r="AG240" s="193"/>
      <c r="AH240" s="193"/>
      <c r="AI240" s="193"/>
      <c r="AJ240" s="193"/>
      <c r="AK240" s="194"/>
      <c r="AL240" s="194"/>
      <c r="AM240" s="194"/>
      <c r="AN240" s="194"/>
      <c r="AO240" s="193"/>
    </row>
    <row r="241" spans="1:41">
      <c r="A241" s="192"/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3"/>
      <c r="AB241" s="193"/>
      <c r="AC241" s="193"/>
      <c r="AD241" s="193"/>
      <c r="AE241" s="193"/>
      <c r="AF241" s="193"/>
      <c r="AG241" s="193"/>
      <c r="AH241" s="193"/>
      <c r="AI241" s="193"/>
      <c r="AJ241" s="193"/>
      <c r="AK241" s="194"/>
      <c r="AL241" s="194"/>
      <c r="AM241" s="194"/>
      <c r="AN241" s="194"/>
      <c r="AO241" s="193"/>
    </row>
    <row r="242" spans="1:41">
      <c r="A242" s="192"/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  <c r="AA242" s="193"/>
      <c r="AB242" s="193"/>
      <c r="AC242" s="193"/>
      <c r="AD242" s="193"/>
      <c r="AE242" s="193"/>
      <c r="AF242" s="193"/>
      <c r="AG242" s="193"/>
      <c r="AH242" s="193"/>
      <c r="AI242" s="193"/>
      <c r="AJ242" s="193"/>
      <c r="AK242" s="194"/>
      <c r="AL242" s="194"/>
      <c r="AM242" s="194"/>
      <c r="AN242" s="194"/>
      <c r="AO242" s="193"/>
    </row>
    <row r="243" spans="1:41">
      <c r="A243" s="192"/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  <c r="AA243" s="193"/>
      <c r="AB243" s="193"/>
      <c r="AC243" s="193"/>
      <c r="AD243" s="193"/>
      <c r="AE243" s="193"/>
      <c r="AF243" s="193"/>
      <c r="AG243" s="193"/>
      <c r="AH243" s="193"/>
      <c r="AI243" s="193"/>
      <c r="AJ243" s="193"/>
      <c r="AK243" s="194"/>
      <c r="AL243" s="194"/>
      <c r="AM243" s="194"/>
      <c r="AN243" s="194"/>
      <c r="AO243" s="193"/>
    </row>
    <row r="244" spans="1:41">
      <c r="A244" s="192"/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193"/>
      <c r="AB244" s="193"/>
      <c r="AC244" s="193"/>
      <c r="AD244" s="193"/>
      <c r="AE244" s="193"/>
      <c r="AF244" s="193"/>
      <c r="AG244" s="193"/>
      <c r="AH244" s="193"/>
      <c r="AI244" s="193"/>
      <c r="AJ244" s="193"/>
      <c r="AK244" s="194"/>
      <c r="AL244" s="194"/>
      <c r="AM244" s="194"/>
      <c r="AN244" s="194"/>
      <c r="AO244" s="193"/>
    </row>
    <row r="245" spans="1:41">
      <c r="A245" s="192"/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  <c r="AA245" s="193"/>
      <c r="AB245" s="193"/>
      <c r="AC245" s="193"/>
      <c r="AD245" s="193"/>
      <c r="AE245" s="193"/>
      <c r="AF245" s="193"/>
      <c r="AG245" s="193"/>
      <c r="AH245" s="193"/>
      <c r="AI245" s="193"/>
      <c r="AJ245" s="193"/>
      <c r="AK245" s="194"/>
      <c r="AL245" s="194"/>
      <c r="AM245" s="194"/>
      <c r="AN245" s="194"/>
      <c r="AO245" s="193"/>
    </row>
    <row r="246" spans="1:41">
      <c r="A246" s="192"/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  <c r="AA246" s="193"/>
      <c r="AB246" s="193"/>
      <c r="AC246" s="193"/>
      <c r="AD246" s="193"/>
      <c r="AE246" s="193"/>
      <c r="AF246" s="193"/>
      <c r="AG246" s="193"/>
      <c r="AH246" s="193"/>
      <c r="AI246" s="193"/>
      <c r="AJ246" s="193"/>
      <c r="AK246" s="194"/>
      <c r="AL246" s="194"/>
      <c r="AM246" s="194"/>
      <c r="AN246" s="194"/>
      <c r="AO246" s="193"/>
    </row>
    <row r="247" spans="1:41">
      <c r="A247" s="192"/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  <c r="AA247" s="193"/>
      <c r="AB247" s="193"/>
      <c r="AC247" s="193"/>
      <c r="AD247" s="193"/>
      <c r="AE247" s="193"/>
      <c r="AF247" s="193"/>
      <c r="AG247" s="193"/>
      <c r="AH247" s="193"/>
      <c r="AI247" s="193"/>
      <c r="AJ247" s="193"/>
      <c r="AK247" s="194"/>
      <c r="AL247" s="194"/>
      <c r="AM247" s="194"/>
      <c r="AN247" s="194"/>
      <c r="AO247" s="193"/>
    </row>
    <row r="248" spans="1:41">
      <c r="A248" s="192"/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  <c r="AA248" s="193"/>
      <c r="AB248" s="193"/>
      <c r="AC248" s="193"/>
      <c r="AD248" s="193"/>
      <c r="AE248" s="193"/>
      <c r="AF248" s="193"/>
      <c r="AG248" s="193"/>
      <c r="AH248" s="193"/>
      <c r="AI248" s="193"/>
      <c r="AJ248" s="193"/>
      <c r="AK248" s="194"/>
      <c r="AL248" s="194"/>
      <c r="AM248" s="194"/>
      <c r="AN248" s="194"/>
      <c r="AO248" s="193"/>
    </row>
    <row r="249" spans="1:41">
      <c r="A249" s="192"/>
      <c r="B249" s="192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  <c r="AA249" s="193"/>
      <c r="AB249" s="193"/>
      <c r="AC249" s="193"/>
      <c r="AD249" s="193"/>
      <c r="AE249" s="193"/>
      <c r="AF249" s="193"/>
      <c r="AG249" s="193"/>
      <c r="AH249" s="193"/>
      <c r="AI249" s="193"/>
      <c r="AJ249" s="193"/>
      <c r="AK249" s="194"/>
      <c r="AL249" s="194"/>
      <c r="AM249" s="194"/>
      <c r="AN249" s="194"/>
      <c r="AO249" s="193"/>
    </row>
    <row r="250" spans="1:41">
      <c r="A250" s="192"/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  <c r="AA250" s="193"/>
      <c r="AB250" s="193"/>
      <c r="AC250" s="193"/>
      <c r="AD250" s="193"/>
      <c r="AE250" s="193"/>
      <c r="AF250" s="193"/>
      <c r="AG250" s="193"/>
      <c r="AH250" s="193"/>
      <c r="AI250" s="193"/>
      <c r="AJ250" s="193"/>
      <c r="AK250" s="194"/>
      <c r="AL250" s="194"/>
      <c r="AM250" s="194"/>
      <c r="AN250" s="194"/>
      <c r="AO250" s="193"/>
    </row>
    <row r="251" spans="1:41">
      <c r="A251" s="192"/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  <c r="AA251" s="193"/>
      <c r="AB251" s="193"/>
      <c r="AC251" s="193"/>
      <c r="AD251" s="193"/>
      <c r="AE251" s="193"/>
      <c r="AF251" s="193"/>
      <c r="AG251" s="193"/>
      <c r="AH251" s="193"/>
      <c r="AI251" s="193"/>
      <c r="AJ251" s="193"/>
      <c r="AK251" s="194"/>
      <c r="AL251" s="194"/>
      <c r="AM251" s="194"/>
      <c r="AN251" s="194"/>
      <c r="AO251" s="193"/>
    </row>
    <row r="252" spans="1:41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  <c r="AA252" s="193"/>
      <c r="AB252" s="193"/>
      <c r="AC252" s="193"/>
      <c r="AD252" s="193"/>
      <c r="AE252" s="193"/>
      <c r="AF252" s="193"/>
      <c r="AG252" s="193"/>
      <c r="AH252" s="193"/>
      <c r="AI252" s="193"/>
      <c r="AJ252" s="193"/>
      <c r="AK252" s="194"/>
      <c r="AL252" s="194"/>
      <c r="AM252" s="194"/>
      <c r="AN252" s="194"/>
      <c r="AO252" s="193"/>
    </row>
    <row r="253" spans="1:41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  <c r="AA253" s="193"/>
      <c r="AB253" s="193"/>
      <c r="AC253" s="193"/>
      <c r="AD253" s="193"/>
      <c r="AE253" s="193"/>
      <c r="AF253" s="193"/>
      <c r="AG253" s="193"/>
      <c r="AH253" s="193"/>
      <c r="AI253" s="193"/>
      <c r="AJ253" s="193"/>
      <c r="AK253" s="194"/>
      <c r="AL253" s="194"/>
      <c r="AM253" s="194"/>
      <c r="AN253" s="194"/>
      <c r="AO253" s="193"/>
    </row>
    <row r="254" spans="1:41">
      <c r="A254" s="192"/>
      <c r="B254" s="192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  <c r="AA254" s="193"/>
      <c r="AB254" s="193"/>
      <c r="AC254" s="193"/>
      <c r="AD254" s="193"/>
      <c r="AE254" s="193"/>
      <c r="AF254" s="193"/>
      <c r="AG254" s="193"/>
      <c r="AH254" s="193"/>
      <c r="AI254" s="193"/>
      <c r="AJ254" s="193"/>
      <c r="AK254" s="194"/>
      <c r="AL254" s="194"/>
      <c r="AM254" s="194"/>
      <c r="AN254" s="194"/>
      <c r="AO254" s="193"/>
    </row>
    <row r="255" spans="1:41">
      <c r="A255" s="192"/>
      <c r="B255" s="192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  <c r="AA255" s="193"/>
      <c r="AB255" s="193"/>
      <c r="AC255" s="193"/>
      <c r="AD255" s="193"/>
      <c r="AE255" s="193"/>
      <c r="AF255" s="193"/>
      <c r="AG255" s="193"/>
      <c r="AH255" s="193"/>
      <c r="AI255" s="193"/>
      <c r="AJ255" s="193"/>
      <c r="AK255" s="194"/>
      <c r="AL255" s="194"/>
      <c r="AM255" s="194"/>
      <c r="AN255" s="194"/>
      <c r="AO255" s="193"/>
    </row>
    <row r="256" spans="1:41">
      <c r="A256" s="192"/>
      <c r="B256" s="192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  <c r="AA256" s="193"/>
      <c r="AB256" s="193"/>
      <c r="AC256" s="193"/>
      <c r="AD256" s="193"/>
      <c r="AE256" s="193"/>
      <c r="AF256" s="193"/>
      <c r="AG256" s="193"/>
      <c r="AH256" s="193"/>
      <c r="AI256" s="193"/>
      <c r="AJ256" s="193"/>
      <c r="AK256" s="194"/>
      <c r="AL256" s="194"/>
      <c r="AM256" s="194"/>
      <c r="AN256" s="194"/>
      <c r="AO256" s="193"/>
    </row>
    <row r="257" spans="1:41">
      <c r="A257" s="192"/>
      <c r="B257" s="192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  <c r="AA257" s="193"/>
      <c r="AB257" s="193"/>
      <c r="AC257" s="193"/>
      <c r="AD257" s="193"/>
      <c r="AE257" s="193"/>
      <c r="AF257" s="193"/>
      <c r="AG257" s="193"/>
      <c r="AH257" s="193"/>
      <c r="AI257" s="193"/>
      <c r="AJ257" s="193"/>
      <c r="AK257" s="194"/>
      <c r="AL257" s="194"/>
      <c r="AM257" s="194"/>
      <c r="AN257" s="194"/>
      <c r="AO257" s="193"/>
    </row>
    <row r="258" spans="1:41">
      <c r="A258" s="192"/>
      <c r="B258" s="192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  <c r="AA258" s="193"/>
      <c r="AB258" s="193"/>
      <c r="AC258" s="193"/>
      <c r="AD258" s="193"/>
      <c r="AE258" s="193"/>
      <c r="AF258" s="193"/>
      <c r="AG258" s="193"/>
      <c r="AH258" s="193"/>
      <c r="AI258" s="193"/>
      <c r="AJ258" s="193"/>
      <c r="AK258" s="194"/>
      <c r="AL258" s="194"/>
      <c r="AM258" s="194"/>
      <c r="AN258" s="194"/>
      <c r="AO258" s="193"/>
    </row>
    <row r="259" spans="1:41">
      <c r="A259" s="192"/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  <c r="AA259" s="193"/>
      <c r="AB259" s="193"/>
      <c r="AC259" s="193"/>
      <c r="AD259" s="193"/>
      <c r="AE259" s="193"/>
      <c r="AF259" s="193"/>
      <c r="AG259" s="193"/>
      <c r="AH259" s="193"/>
      <c r="AI259" s="193"/>
      <c r="AJ259" s="193"/>
      <c r="AK259" s="194"/>
      <c r="AL259" s="194"/>
      <c r="AM259" s="194"/>
      <c r="AN259" s="194"/>
      <c r="AO259" s="193"/>
    </row>
    <row r="260" spans="1:41">
      <c r="A260" s="192"/>
      <c r="B260" s="192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  <c r="AA260" s="193"/>
      <c r="AB260" s="193"/>
      <c r="AC260" s="193"/>
      <c r="AD260" s="193"/>
      <c r="AE260" s="193"/>
      <c r="AF260" s="193"/>
      <c r="AG260" s="193"/>
      <c r="AH260" s="193"/>
      <c r="AI260" s="193"/>
      <c r="AJ260" s="193"/>
      <c r="AK260" s="194"/>
      <c r="AL260" s="194"/>
      <c r="AM260" s="194"/>
      <c r="AN260" s="194"/>
      <c r="AO260" s="193"/>
    </row>
    <row r="261" spans="1:41">
      <c r="A261" s="192"/>
      <c r="B261" s="192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4"/>
      <c r="AL261" s="194"/>
      <c r="AM261" s="194"/>
      <c r="AN261" s="194"/>
      <c r="AO261" s="193"/>
    </row>
    <row r="262" spans="1:41">
      <c r="A262" s="192"/>
      <c r="B262" s="192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4"/>
      <c r="AL262" s="194"/>
      <c r="AM262" s="194"/>
      <c r="AN262" s="194"/>
      <c r="AO262" s="193"/>
    </row>
    <row r="263" spans="1:41">
      <c r="A263" s="192"/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4"/>
      <c r="AL263" s="194"/>
      <c r="AM263" s="194"/>
      <c r="AN263" s="194"/>
      <c r="AO263" s="193"/>
    </row>
    <row r="264" spans="1:41">
      <c r="A264" s="192"/>
      <c r="B264" s="192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4"/>
      <c r="AL264" s="194"/>
      <c r="AM264" s="194"/>
      <c r="AN264" s="194"/>
      <c r="AO264" s="193"/>
    </row>
    <row r="265" spans="1:41">
      <c r="A265" s="192"/>
      <c r="B265" s="192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4"/>
      <c r="AL265" s="194"/>
      <c r="AM265" s="194"/>
      <c r="AN265" s="194"/>
      <c r="AO265" s="193"/>
    </row>
    <row r="266" spans="1:41">
      <c r="A266" s="192"/>
      <c r="B266" s="192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4"/>
      <c r="AL266" s="194"/>
      <c r="AM266" s="194"/>
      <c r="AN266" s="194"/>
      <c r="AO266" s="193"/>
    </row>
    <row r="267" spans="1:41">
      <c r="A267" s="192"/>
      <c r="B267" s="192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4"/>
      <c r="AL267" s="194"/>
      <c r="AM267" s="194"/>
      <c r="AN267" s="194"/>
      <c r="AO267" s="193"/>
    </row>
    <row r="268" spans="1:41">
      <c r="A268" s="192"/>
      <c r="B268" s="192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4"/>
      <c r="AL268" s="194"/>
      <c r="AM268" s="194"/>
      <c r="AN268" s="194"/>
      <c r="AO268" s="193"/>
    </row>
    <row r="269" spans="1:41">
      <c r="A269" s="192"/>
      <c r="B269" s="192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  <c r="AA269" s="193"/>
      <c r="AB269" s="193"/>
      <c r="AC269" s="193"/>
      <c r="AD269" s="193"/>
      <c r="AE269" s="193"/>
      <c r="AF269" s="193"/>
      <c r="AG269" s="193"/>
      <c r="AH269" s="193"/>
      <c r="AI269" s="193"/>
      <c r="AJ269" s="193"/>
      <c r="AK269" s="194"/>
      <c r="AL269" s="194"/>
      <c r="AM269" s="194"/>
      <c r="AN269" s="194"/>
      <c r="AO269" s="193"/>
    </row>
    <row r="270" spans="1:41">
      <c r="A270" s="192"/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  <c r="AA270" s="193"/>
      <c r="AB270" s="193"/>
      <c r="AC270" s="193"/>
      <c r="AD270" s="193"/>
      <c r="AE270" s="193"/>
      <c r="AF270" s="193"/>
      <c r="AG270" s="193"/>
      <c r="AH270" s="193"/>
      <c r="AI270" s="193"/>
      <c r="AJ270" s="193"/>
      <c r="AK270" s="194"/>
      <c r="AL270" s="194"/>
      <c r="AM270" s="194"/>
      <c r="AN270" s="194"/>
      <c r="AO270" s="193"/>
    </row>
    <row r="271" spans="1:41">
      <c r="A271" s="192"/>
      <c r="B271" s="192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  <c r="AA271" s="193"/>
      <c r="AB271" s="193"/>
      <c r="AC271" s="193"/>
      <c r="AD271" s="193"/>
      <c r="AE271" s="193"/>
      <c r="AF271" s="193"/>
      <c r="AG271" s="193"/>
      <c r="AH271" s="193"/>
      <c r="AI271" s="193"/>
      <c r="AJ271" s="193"/>
      <c r="AK271" s="194"/>
      <c r="AL271" s="194"/>
      <c r="AM271" s="194"/>
      <c r="AN271" s="194"/>
      <c r="AO271" s="193"/>
    </row>
    <row r="272" spans="1:41">
      <c r="A272" s="192"/>
      <c r="B272" s="192"/>
      <c r="C272" s="192"/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  <c r="AA272" s="193"/>
      <c r="AB272" s="193"/>
      <c r="AC272" s="193"/>
      <c r="AD272" s="193"/>
      <c r="AE272" s="193"/>
      <c r="AF272" s="193"/>
      <c r="AG272" s="193"/>
      <c r="AH272" s="193"/>
      <c r="AI272" s="193"/>
      <c r="AJ272" s="193"/>
      <c r="AK272" s="194"/>
      <c r="AL272" s="194"/>
      <c r="AM272" s="194"/>
      <c r="AN272" s="194"/>
      <c r="AO272" s="193"/>
    </row>
    <row r="273" spans="1:41">
      <c r="A273" s="192"/>
      <c r="B273" s="192"/>
      <c r="C273" s="192"/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  <c r="AA273" s="193"/>
      <c r="AB273" s="193"/>
      <c r="AC273" s="193"/>
      <c r="AD273" s="193"/>
      <c r="AE273" s="193"/>
      <c r="AF273" s="193"/>
      <c r="AG273" s="193"/>
      <c r="AH273" s="193"/>
      <c r="AI273" s="193"/>
      <c r="AJ273" s="193"/>
      <c r="AK273" s="194"/>
      <c r="AL273" s="194"/>
      <c r="AM273" s="194"/>
      <c r="AN273" s="194"/>
      <c r="AO273" s="193"/>
    </row>
    <row r="274" spans="1:41">
      <c r="A274" s="192"/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  <c r="AA274" s="193"/>
      <c r="AB274" s="193"/>
      <c r="AC274" s="193"/>
      <c r="AD274" s="193"/>
      <c r="AE274" s="193"/>
      <c r="AF274" s="193"/>
      <c r="AG274" s="193"/>
      <c r="AH274" s="193"/>
      <c r="AI274" s="193"/>
      <c r="AJ274" s="193"/>
      <c r="AK274" s="194"/>
      <c r="AL274" s="194"/>
      <c r="AM274" s="194"/>
      <c r="AN274" s="194"/>
      <c r="AO274" s="193"/>
    </row>
    <row r="275" spans="1:41">
      <c r="A275" s="192"/>
      <c r="B275" s="192"/>
      <c r="C275" s="192"/>
      <c r="D275" s="192"/>
      <c r="E275" s="192"/>
      <c r="F275" s="19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  <c r="AA275" s="193"/>
      <c r="AB275" s="193"/>
      <c r="AC275" s="193"/>
      <c r="AD275" s="193"/>
      <c r="AE275" s="193"/>
      <c r="AF275" s="193"/>
      <c r="AG275" s="193"/>
      <c r="AH275" s="193"/>
      <c r="AI275" s="193"/>
      <c r="AJ275" s="193"/>
      <c r="AK275" s="194"/>
      <c r="AL275" s="194"/>
      <c r="AM275" s="194"/>
      <c r="AN275" s="194"/>
      <c r="AO275" s="193"/>
    </row>
    <row r="276" spans="1:41">
      <c r="A276" s="192"/>
      <c r="B276" s="192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  <c r="AA276" s="193"/>
      <c r="AB276" s="193"/>
      <c r="AC276" s="193"/>
      <c r="AD276" s="193"/>
      <c r="AE276" s="193"/>
      <c r="AF276" s="193"/>
      <c r="AG276" s="193"/>
      <c r="AH276" s="193"/>
      <c r="AI276" s="193"/>
      <c r="AJ276" s="193"/>
      <c r="AK276" s="194"/>
      <c r="AL276" s="194"/>
      <c r="AM276" s="194"/>
      <c r="AN276" s="194"/>
      <c r="AO276" s="193"/>
    </row>
    <row r="277" spans="1:41">
      <c r="A277" s="192"/>
      <c r="B277" s="192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  <c r="AA277" s="193"/>
      <c r="AB277" s="193"/>
      <c r="AC277" s="193"/>
      <c r="AD277" s="193"/>
      <c r="AE277" s="193"/>
      <c r="AF277" s="193"/>
      <c r="AG277" s="193"/>
      <c r="AH277" s="193"/>
      <c r="AI277" s="193"/>
      <c r="AJ277" s="193"/>
      <c r="AK277" s="194"/>
      <c r="AL277" s="194"/>
      <c r="AM277" s="194"/>
      <c r="AN277" s="194"/>
      <c r="AO277" s="193"/>
    </row>
    <row r="278" spans="1:41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  <c r="AA278" s="193"/>
      <c r="AB278" s="193"/>
      <c r="AC278" s="193"/>
      <c r="AD278" s="193"/>
      <c r="AE278" s="193"/>
      <c r="AF278" s="193"/>
      <c r="AG278" s="193"/>
      <c r="AH278" s="193"/>
      <c r="AI278" s="193"/>
      <c r="AJ278" s="193"/>
      <c r="AK278" s="194"/>
      <c r="AL278" s="194"/>
      <c r="AM278" s="194"/>
      <c r="AN278" s="194"/>
      <c r="AO278" s="193"/>
    </row>
    <row r="279" spans="1:41">
      <c r="A279" s="192"/>
      <c r="B279" s="192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  <c r="AA279" s="193"/>
      <c r="AB279" s="193"/>
      <c r="AC279" s="193"/>
      <c r="AD279" s="193"/>
      <c r="AE279" s="193"/>
      <c r="AF279" s="193"/>
      <c r="AG279" s="193"/>
      <c r="AH279" s="193"/>
      <c r="AI279" s="193"/>
      <c r="AJ279" s="193"/>
      <c r="AK279" s="194"/>
      <c r="AL279" s="194"/>
      <c r="AM279" s="194"/>
      <c r="AN279" s="194"/>
      <c r="AO279" s="193"/>
    </row>
    <row r="280" spans="1:41">
      <c r="A280" s="192"/>
      <c r="B280" s="192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  <c r="AA280" s="193"/>
      <c r="AB280" s="193"/>
      <c r="AC280" s="193"/>
      <c r="AD280" s="193"/>
      <c r="AE280" s="193"/>
      <c r="AF280" s="193"/>
      <c r="AG280" s="193"/>
      <c r="AH280" s="193"/>
      <c r="AI280" s="193"/>
      <c r="AJ280" s="193"/>
      <c r="AK280" s="194"/>
      <c r="AL280" s="194"/>
      <c r="AM280" s="194"/>
      <c r="AN280" s="194"/>
      <c r="AO280" s="193"/>
    </row>
    <row r="281" spans="1:41">
      <c r="A281" s="192"/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  <c r="Z281" s="192"/>
      <c r="AA281" s="193"/>
      <c r="AB281" s="193"/>
      <c r="AC281" s="193"/>
      <c r="AD281" s="193"/>
      <c r="AE281" s="193"/>
      <c r="AF281" s="193"/>
      <c r="AG281" s="193"/>
      <c r="AH281" s="193"/>
      <c r="AI281" s="193"/>
      <c r="AJ281" s="193"/>
      <c r="AK281" s="194"/>
      <c r="AL281" s="194"/>
      <c r="AM281" s="194"/>
      <c r="AN281" s="194"/>
      <c r="AO281" s="193"/>
    </row>
    <row r="282" spans="1:41">
      <c r="A282" s="192"/>
      <c r="B282" s="192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  <c r="Z282" s="192"/>
      <c r="AA282" s="193"/>
      <c r="AB282" s="193"/>
      <c r="AC282" s="193"/>
      <c r="AD282" s="193"/>
      <c r="AE282" s="193"/>
      <c r="AF282" s="193"/>
      <c r="AG282" s="193"/>
      <c r="AH282" s="193"/>
      <c r="AI282" s="193"/>
      <c r="AJ282" s="193"/>
      <c r="AK282" s="194"/>
      <c r="AL282" s="194"/>
      <c r="AM282" s="194"/>
      <c r="AN282" s="194"/>
      <c r="AO282" s="193"/>
    </row>
    <row r="283" spans="1:41">
      <c r="A283" s="192"/>
      <c r="B283" s="192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  <c r="AA283" s="193"/>
      <c r="AB283" s="193"/>
      <c r="AC283" s="193"/>
      <c r="AD283" s="193"/>
      <c r="AE283" s="193"/>
      <c r="AF283" s="193"/>
      <c r="AG283" s="193"/>
      <c r="AH283" s="193"/>
      <c r="AI283" s="193"/>
      <c r="AJ283" s="193"/>
      <c r="AK283" s="194"/>
      <c r="AL283" s="194"/>
      <c r="AM283" s="194"/>
      <c r="AN283" s="194"/>
      <c r="AO283" s="193"/>
    </row>
    <row r="284" spans="1:41">
      <c r="A284" s="192"/>
      <c r="B284" s="192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  <c r="T284" s="192"/>
      <c r="U284" s="192"/>
      <c r="V284" s="192"/>
      <c r="W284" s="192"/>
      <c r="X284" s="192"/>
      <c r="Y284" s="192"/>
      <c r="Z284" s="192"/>
      <c r="AA284" s="193"/>
      <c r="AB284" s="193"/>
      <c r="AC284" s="193"/>
      <c r="AD284" s="193"/>
      <c r="AE284" s="193"/>
      <c r="AF284" s="193"/>
      <c r="AG284" s="193"/>
      <c r="AH284" s="193"/>
      <c r="AI284" s="193"/>
      <c r="AJ284" s="193"/>
      <c r="AK284" s="194"/>
      <c r="AL284" s="194"/>
      <c r="AM284" s="194"/>
      <c r="AN284" s="194"/>
      <c r="AO284" s="193"/>
    </row>
    <row r="285" spans="1:41">
      <c r="A285" s="192"/>
      <c r="B285" s="192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  <c r="Z285" s="192"/>
      <c r="AA285" s="193"/>
      <c r="AB285" s="193"/>
      <c r="AC285" s="193"/>
      <c r="AD285" s="193"/>
      <c r="AE285" s="193"/>
      <c r="AF285" s="193"/>
      <c r="AG285" s="193"/>
      <c r="AH285" s="193"/>
      <c r="AI285" s="193"/>
      <c r="AJ285" s="193"/>
      <c r="AK285" s="194"/>
      <c r="AL285" s="194"/>
      <c r="AM285" s="194"/>
      <c r="AN285" s="194"/>
      <c r="AO285" s="193"/>
    </row>
    <row r="286" spans="1:41">
      <c r="A286" s="192"/>
      <c r="B286" s="192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  <c r="AA286" s="193"/>
      <c r="AB286" s="193"/>
      <c r="AC286" s="193"/>
      <c r="AD286" s="193"/>
      <c r="AE286" s="193"/>
      <c r="AF286" s="193"/>
      <c r="AG286" s="193"/>
      <c r="AH286" s="193"/>
      <c r="AI286" s="193"/>
      <c r="AJ286" s="193"/>
      <c r="AK286" s="194"/>
      <c r="AL286" s="194"/>
      <c r="AM286" s="194"/>
      <c r="AN286" s="194"/>
      <c r="AO286" s="193"/>
    </row>
    <row r="287" spans="1:41">
      <c r="A287" s="192"/>
      <c r="B287" s="192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  <c r="AA287" s="193"/>
      <c r="AB287" s="193"/>
      <c r="AC287" s="193"/>
      <c r="AD287" s="193"/>
      <c r="AE287" s="193"/>
      <c r="AF287" s="193"/>
      <c r="AG287" s="193"/>
      <c r="AH287" s="193"/>
      <c r="AI287" s="193"/>
      <c r="AJ287" s="193"/>
      <c r="AK287" s="194"/>
      <c r="AL287" s="194"/>
      <c r="AM287" s="194"/>
      <c r="AN287" s="194"/>
      <c r="AO287" s="193"/>
    </row>
    <row r="288" spans="1:41">
      <c r="A288" s="192"/>
      <c r="B288" s="192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  <c r="Z288" s="192"/>
      <c r="AA288" s="193"/>
      <c r="AB288" s="193"/>
      <c r="AC288" s="193"/>
      <c r="AD288" s="193"/>
      <c r="AE288" s="193"/>
      <c r="AF288" s="193"/>
      <c r="AG288" s="193"/>
      <c r="AH288" s="193"/>
      <c r="AI288" s="193"/>
      <c r="AJ288" s="193"/>
      <c r="AK288" s="194"/>
      <c r="AL288" s="194"/>
      <c r="AM288" s="194"/>
      <c r="AN288" s="194"/>
      <c r="AO288" s="193"/>
    </row>
    <row r="289" spans="1:41">
      <c r="A289" s="192"/>
      <c r="B289" s="192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  <c r="AA289" s="193"/>
      <c r="AB289" s="193"/>
      <c r="AC289" s="193"/>
      <c r="AD289" s="193"/>
      <c r="AE289" s="193"/>
      <c r="AF289" s="193"/>
      <c r="AG289" s="193"/>
      <c r="AH289" s="193"/>
      <c r="AI289" s="193"/>
      <c r="AJ289" s="193"/>
      <c r="AK289" s="194"/>
      <c r="AL289" s="194"/>
      <c r="AM289" s="194"/>
      <c r="AN289" s="194"/>
      <c r="AO289" s="193"/>
    </row>
    <row r="290" spans="1:41">
      <c r="A290" s="192"/>
      <c r="B290" s="192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  <c r="Z290" s="192"/>
      <c r="AA290" s="193"/>
      <c r="AB290" s="193"/>
      <c r="AC290" s="193"/>
      <c r="AD290" s="193"/>
      <c r="AE290" s="193"/>
      <c r="AF290" s="193"/>
      <c r="AG290" s="193"/>
      <c r="AH290" s="193"/>
      <c r="AI290" s="193"/>
      <c r="AJ290" s="193"/>
      <c r="AK290" s="194"/>
      <c r="AL290" s="194"/>
      <c r="AM290" s="194"/>
      <c r="AN290" s="194"/>
      <c r="AO290" s="193"/>
    </row>
    <row r="291" spans="1:41">
      <c r="A291" s="192"/>
      <c r="B291" s="192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  <c r="AA291" s="193"/>
      <c r="AB291" s="193"/>
      <c r="AC291" s="193"/>
      <c r="AD291" s="193"/>
      <c r="AE291" s="193"/>
      <c r="AF291" s="193"/>
      <c r="AG291" s="193"/>
      <c r="AH291" s="193"/>
      <c r="AI291" s="193"/>
      <c r="AJ291" s="193"/>
      <c r="AK291" s="194"/>
      <c r="AL291" s="194"/>
      <c r="AM291" s="194"/>
      <c r="AN291" s="194"/>
      <c r="AO291" s="193"/>
    </row>
    <row r="292" spans="1:41">
      <c r="A292" s="192"/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  <c r="AA292" s="193"/>
      <c r="AB292" s="193"/>
      <c r="AC292" s="193"/>
      <c r="AD292" s="193"/>
      <c r="AE292" s="193"/>
      <c r="AF292" s="193"/>
      <c r="AG292" s="193"/>
      <c r="AH292" s="193"/>
      <c r="AI292" s="193"/>
      <c r="AJ292" s="193"/>
      <c r="AK292" s="194"/>
      <c r="AL292" s="194"/>
      <c r="AM292" s="194"/>
      <c r="AN292" s="194"/>
      <c r="AO292" s="193"/>
    </row>
    <row r="293" spans="1:41">
      <c r="A293" s="192"/>
      <c r="B293" s="192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192"/>
      <c r="T293" s="192"/>
      <c r="U293" s="192"/>
      <c r="V293" s="192"/>
      <c r="W293" s="192"/>
      <c r="X293" s="192"/>
      <c r="Y293" s="192"/>
      <c r="Z293" s="192"/>
      <c r="AA293" s="193"/>
      <c r="AB293" s="193"/>
      <c r="AC293" s="193"/>
      <c r="AD293" s="193"/>
      <c r="AE293" s="193"/>
      <c r="AF293" s="193"/>
      <c r="AG293" s="193"/>
      <c r="AH293" s="193"/>
      <c r="AI293" s="193"/>
      <c r="AJ293" s="193"/>
      <c r="AK293" s="194"/>
      <c r="AL293" s="194"/>
      <c r="AM293" s="194"/>
      <c r="AN293" s="194"/>
      <c r="AO293" s="193"/>
    </row>
    <row r="294" spans="1:41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  <c r="AA294" s="193"/>
      <c r="AB294" s="193"/>
      <c r="AC294" s="193"/>
      <c r="AD294" s="193"/>
      <c r="AE294" s="193"/>
      <c r="AF294" s="193"/>
      <c r="AG294" s="193"/>
      <c r="AH294" s="193"/>
      <c r="AI294" s="193"/>
      <c r="AJ294" s="193"/>
      <c r="AK294" s="194"/>
      <c r="AL294" s="194"/>
      <c r="AM294" s="194"/>
      <c r="AN294" s="194"/>
      <c r="AO294" s="193"/>
    </row>
    <row r="295" spans="1:41">
      <c r="A295" s="192"/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3"/>
      <c r="AB295" s="193"/>
      <c r="AC295" s="193"/>
      <c r="AD295" s="193"/>
      <c r="AE295" s="193"/>
      <c r="AF295" s="193"/>
      <c r="AG295" s="193"/>
      <c r="AH295" s="193"/>
      <c r="AI295" s="193"/>
      <c r="AJ295" s="193"/>
      <c r="AK295" s="194"/>
      <c r="AL295" s="194"/>
      <c r="AM295" s="194"/>
      <c r="AN295" s="194"/>
      <c r="AO295" s="193"/>
    </row>
    <row r="296" spans="1:41">
      <c r="A296" s="192"/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3"/>
      <c r="AB296" s="193"/>
      <c r="AC296" s="193"/>
      <c r="AD296" s="193"/>
      <c r="AE296" s="193"/>
      <c r="AF296" s="193"/>
      <c r="AG296" s="193"/>
      <c r="AH296" s="193"/>
      <c r="AI296" s="193"/>
      <c r="AJ296" s="193"/>
      <c r="AK296" s="194"/>
      <c r="AL296" s="194"/>
      <c r="AM296" s="194"/>
      <c r="AN296" s="194"/>
      <c r="AO296" s="193"/>
    </row>
    <row r="297" spans="1:41">
      <c r="A297" s="192"/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3"/>
      <c r="AB297" s="193"/>
      <c r="AC297" s="193"/>
      <c r="AD297" s="193"/>
      <c r="AE297" s="193"/>
      <c r="AF297" s="193"/>
      <c r="AG297" s="193"/>
      <c r="AH297" s="193"/>
      <c r="AI297" s="193"/>
      <c r="AJ297" s="193"/>
      <c r="AK297" s="194"/>
      <c r="AL297" s="194"/>
      <c r="AM297" s="194"/>
      <c r="AN297" s="194"/>
      <c r="AO297" s="193"/>
    </row>
    <row r="298" spans="1:41">
      <c r="A298" s="192"/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  <c r="AA298" s="193"/>
      <c r="AB298" s="193"/>
      <c r="AC298" s="193"/>
      <c r="AD298" s="193"/>
      <c r="AE298" s="193"/>
      <c r="AF298" s="193"/>
      <c r="AG298" s="193"/>
      <c r="AH298" s="193"/>
      <c r="AI298" s="193"/>
      <c r="AJ298" s="193"/>
      <c r="AK298" s="194"/>
      <c r="AL298" s="194"/>
      <c r="AM298" s="194"/>
      <c r="AN298" s="194"/>
      <c r="AO298" s="193"/>
    </row>
    <row r="299" spans="1:41">
      <c r="A299" s="192"/>
      <c r="B299" s="192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  <c r="AA299" s="193"/>
      <c r="AB299" s="193"/>
      <c r="AC299" s="193"/>
      <c r="AD299" s="193"/>
      <c r="AE299" s="193"/>
      <c r="AF299" s="193"/>
      <c r="AG299" s="193"/>
      <c r="AH299" s="193"/>
      <c r="AI299" s="193"/>
      <c r="AJ299" s="193"/>
      <c r="AK299" s="194"/>
      <c r="AL299" s="194"/>
      <c r="AM299" s="194"/>
      <c r="AN299" s="194"/>
      <c r="AO299" s="193"/>
    </row>
    <row r="300" spans="1:41">
      <c r="A300" s="192"/>
      <c r="B300" s="192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  <c r="Z300" s="192"/>
      <c r="AA300" s="193"/>
      <c r="AB300" s="193"/>
      <c r="AC300" s="193"/>
      <c r="AD300" s="193"/>
      <c r="AE300" s="193"/>
      <c r="AF300" s="193"/>
      <c r="AG300" s="193"/>
      <c r="AH300" s="193"/>
      <c r="AI300" s="193"/>
      <c r="AJ300" s="193"/>
      <c r="AK300" s="194"/>
      <c r="AL300" s="194"/>
      <c r="AM300" s="194"/>
      <c r="AN300" s="194"/>
      <c r="AO300" s="193"/>
    </row>
    <row r="301" spans="1:41">
      <c r="A301" s="192"/>
      <c r="B301" s="192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  <c r="AA301" s="193"/>
      <c r="AB301" s="193"/>
      <c r="AC301" s="193"/>
      <c r="AD301" s="193"/>
      <c r="AE301" s="193"/>
      <c r="AF301" s="193"/>
      <c r="AG301" s="193"/>
      <c r="AH301" s="193"/>
      <c r="AI301" s="193"/>
      <c r="AJ301" s="193"/>
      <c r="AK301" s="194"/>
      <c r="AL301" s="194"/>
      <c r="AM301" s="194"/>
      <c r="AN301" s="194"/>
      <c r="AO301" s="193"/>
    </row>
    <row r="302" spans="1:41">
      <c r="A302" s="192"/>
      <c r="B302" s="192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192"/>
      <c r="V302" s="192"/>
      <c r="W302" s="192"/>
      <c r="X302" s="192"/>
      <c r="Y302" s="192"/>
      <c r="Z302" s="192"/>
      <c r="AA302" s="193"/>
      <c r="AB302" s="193"/>
      <c r="AC302" s="193"/>
      <c r="AD302" s="193"/>
      <c r="AE302" s="193"/>
      <c r="AF302" s="193"/>
      <c r="AG302" s="193"/>
      <c r="AH302" s="193"/>
      <c r="AI302" s="193"/>
      <c r="AJ302" s="193"/>
      <c r="AK302" s="194"/>
      <c r="AL302" s="194"/>
      <c r="AM302" s="194"/>
      <c r="AN302" s="194"/>
      <c r="AO302" s="193"/>
    </row>
    <row r="303" spans="1:41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  <c r="Z303" s="192"/>
      <c r="AA303" s="193"/>
      <c r="AB303" s="193"/>
      <c r="AC303" s="193"/>
      <c r="AD303" s="193"/>
      <c r="AE303" s="193"/>
      <c r="AF303" s="193"/>
      <c r="AG303" s="193"/>
      <c r="AH303" s="193"/>
      <c r="AI303" s="193"/>
      <c r="AJ303" s="193"/>
      <c r="AK303" s="194"/>
      <c r="AL303" s="194"/>
      <c r="AM303" s="194"/>
      <c r="AN303" s="194"/>
      <c r="AO303" s="193"/>
    </row>
    <row r="304" spans="1:41">
      <c r="A304" s="192"/>
      <c r="B304" s="192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  <c r="Z304" s="192"/>
      <c r="AA304" s="193"/>
      <c r="AB304" s="193"/>
      <c r="AC304" s="193"/>
      <c r="AD304" s="193"/>
      <c r="AE304" s="193"/>
      <c r="AF304" s="193"/>
      <c r="AG304" s="193"/>
      <c r="AH304" s="193"/>
      <c r="AI304" s="193"/>
      <c r="AJ304" s="193"/>
      <c r="AK304" s="194"/>
      <c r="AL304" s="194"/>
      <c r="AM304" s="194"/>
      <c r="AN304" s="194"/>
      <c r="AO304" s="193"/>
    </row>
    <row r="305" spans="1:41">
      <c r="A305" s="192"/>
      <c r="B305" s="192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  <c r="Z305" s="192"/>
      <c r="AA305" s="193"/>
      <c r="AB305" s="193"/>
      <c r="AC305" s="193"/>
      <c r="AD305" s="193"/>
      <c r="AE305" s="193"/>
      <c r="AF305" s="193"/>
      <c r="AG305" s="193"/>
      <c r="AH305" s="193"/>
      <c r="AI305" s="193"/>
      <c r="AJ305" s="193"/>
      <c r="AK305" s="194"/>
      <c r="AL305" s="194"/>
      <c r="AM305" s="194"/>
      <c r="AN305" s="194"/>
      <c r="AO305" s="193"/>
    </row>
    <row r="306" spans="1:41">
      <c r="A306" s="192"/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  <c r="V306" s="192"/>
      <c r="W306" s="192"/>
      <c r="X306" s="192"/>
      <c r="Y306" s="192"/>
      <c r="Z306" s="192"/>
      <c r="AA306" s="193"/>
      <c r="AB306" s="193"/>
      <c r="AC306" s="193"/>
      <c r="AD306" s="193"/>
      <c r="AE306" s="193"/>
      <c r="AF306" s="193"/>
      <c r="AG306" s="193"/>
      <c r="AH306" s="193"/>
      <c r="AI306" s="193"/>
      <c r="AJ306" s="193"/>
      <c r="AK306" s="194"/>
      <c r="AL306" s="194"/>
      <c r="AM306" s="194"/>
      <c r="AN306" s="194"/>
      <c r="AO306" s="193"/>
    </row>
    <row r="307" spans="1:41">
      <c r="A307" s="192"/>
      <c r="B307" s="192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192"/>
      <c r="Z307" s="192"/>
      <c r="AA307" s="193"/>
      <c r="AB307" s="193"/>
      <c r="AC307" s="193"/>
      <c r="AD307" s="193"/>
      <c r="AE307" s="193"/>
      <c r="AF307" s="193"/>
      <c r="AG307" s="193"/>
      <c r="AH307" s="193"/>
      <c r="AI307" s="193"/>
      <c r="AJ307" s="193"/>
      <c r="AK307" s="194"/>
      <c r="AL307" s="194"/>
      <c r="AM307" s="194"/>
      <c r="AN307" s="194"/>
      <c r="AO307" s="193"/>
    </row>
    <row r="308" spans="1:41">
      <c r="A308" s="192"/>
      <c r="B308" s="192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  <c r="T308" s="192"/>
      <c r="U308" s="192"/>
      <c r="V308" s="192"/>
      <c r="W308" s="192"/>
      <c r="X308" s="192"/>
      <c r="Y308" s="192"/>
      <c r="Z308" s="192"/>
      <c r="AA308" s="193"/>
      <c r="AB308" s="193"/>
      <c r="AC308" s="193"/>
      <c r="AD308" s="193"/>
      <c r="AE308" s="193"/>
      <c r="AF308" s="193"/>
      <c r="AG308" s="193"/>
      <c r="AH308" s="193"/>
      <c r="AI308" s="193"/>
      <c r="AJ308" s="193"/>
      <c r="AK308" s="194"/>
      <c r="AL308" s="194"/>
      <c r="AM308" s="194"/>
      <c r="AN308" s="194"/>
      <c r="AO308" s="193"/>
    </row>
    <row r="309" spans="1:41">
      <c r="A309" s="192"/>
      <c r="B309" s="192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  <c r="T309" s="192"/>
      <c r="U309" s="192"/>
      <c r="V309" s="192"/>
      <c r="W309" s="192"/>
      <c r="X309" s="192"/>
      <c r="Y309" s="192"/>
      <c r="Z309" s="192"/>
      <c r="AA309" s="193"/>
      <c r="AB309" s="193"/>
      <c r="AC309" s="193"/>
      <c r="AD309" s="193"/>
      <c r="AE309" s="193"/>
      <c r="AF309" s="193"/>
      <c r="AG309" s="193"/>
      <c r="AH309" s="193"/>
      <c r="AI309" s="193"/>
      <c r="AJ309" s="193"/>
      <c r="AK309" s="194"/>
      <c r="AL309" s="194"/>
      <c r="AM309" s="194"/>
      <c r="AN309" s="194"/>
      <c r="AO309" s="193"/>
    </row>
    <row r="310" spans="1:41">
      <c r="A310" s="192"/>
      <c r="B310" s="192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  <c r="T310" s="192"/>
      <c r="U310" s="192"/>
      <c r="V310" s="192"/>
      <c r="W310" s="192"/>
      <c r="X310" s="192"/>
      <c r="Y310" s="192"/>
      <c r="Z310" s="192"/>
      <c r="AA310" s="193"/>
      <c r="AB310" s="193"/>
      <c r="AC310" s="193"/>
      <c r="AD310" s="193"/>
      <c r="AE310" s="193"/>
      <c r="AF310" s="193"/>
      <c r="AG310" s="193"/>
      <c r="AH310" s="193"/>
      <c r="AI310" s="193"/>
      <c r="AJ310" s="193"/>
      <c r="AK310" s="194"/>
      <c r="AL310" s="194"/>
      <c r="AM310" s="194"/>
      <c r="AN310" s="194"/>
      <c r="AO310" s="193"/>
    </row>
    <row r="311" spans="1:41">
      <c r="A311" s="192"/>
      <c r="B311" s="192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  <c r="AA311" s="193"/>
      <c r="AB311" s="193"/>
      <c r="AC311" s="193"/>
      <c r="AD311" s="193"/>
      <c r="AE311" s="193"/>
      <c r="AF311" s="193"/>
      <c r="AG311" s="193"/>
      <c r="AH311" s="193"/>
      <c r="AI311" s="193"/>
      <c r="AJ311" s="193"/>
      <c r="AK311" s="194"/>
      <c r="AL311" s="194"/>
      <c r="AM311" s="194"/>
      <c r="AN311" s="194"/>
      <c r="AO311" s="193"/>
    </row>
    <row r="312" spans="1:41">
      <c r="A312" s="192"/>
      <c r="B312" s="192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  <c r="Z312" s="192"/>
      <c r="AA312" s="193"/>
      <c r="AB312" s="193"/>
      <c r="AC312" s="193"/>
      <c r="AD312" s="193"/>
      <c r="AE312" s="193"/>
      <c r="AF312" s="193"/>
      <c r="AG312" s="193"/>
      <c r="AH312" s="193"/>
      <c r="AI312" s="193"/>
      <c r="AJ312" s="193"/>
      <c r="AK312" s="194"/>
      <c r="AL312" s="194"/>
      <c r="AM312" s="194"/>
      <c r="AN312" s="194"/>
      <c r="AO312" s="193"/>
    </row>
    <row r="313" spans="1:41">
      <c r="A313" s="192"/>
      <c r="B313" s="192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  <c r="Z313" s="192"/>
      <c r="AA313" s="193"/>
      <c r="AB313" s="193"/>
      <c r="AC313" s="193"/>
      <c r="AD313" s="193"/>
      <c r="AE313" s="193"/>
      <c r="AF313" s="193"/>
      <c r="AG313" s="193"/>
      <c r="AH313" s="193"/>
      <c r="AI313" s="193"/>
      <c r="AJ313" s="193"/>
      <c r="AK313" s="194"/>
      <c r="AL313" s="194"/>
      <c r="AM313" s="194"/>
      <c r="AN313" s="194"/>
      <c r="AO313" s="193"/>
    </row>
    <row r="314" spans="1:41">
      <c r="A314" s="192"/>
      <c r="B314" s="192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  <c r="AA314" s="193"/>
      <c r="AB314" s="193"/>
      <c r="AC314" s="193"/>
      <c r="AD314" s="193"/>
      <c r="AE314" s="193"/>
      <c r="AF314" s="193"/>
      <c r="AG314" s="193"/>
      <c r="AH314" s="193"/>
      <c r="AI314" s="193"/>
      <c r="AJ314" s="193"/>
      <c r="AK314" s="194"/>
      <c r="AL314" s="194"/>
      <c r="AM314" s="194"/>
      <c r="AN314" s="194"/>
      <c r="AO314" s="193"/>
    </row>
    <row r="315" spans="1:41">
      <c r="A315" s="192"/>
      <c r="B315" s="192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  <c r="AA315" s="193"/>
      <c r="AB315" s="193"/>
      <c r="AC315" s="193"/>
      <c r="AD315" s="193"/>
      <c r="AE315" s="193"/>
      <c r="AF315" s="193"/>
      <c r="AG315" s="193"/>
      <c r="AH315" s="193"/>
      <c r="AI315" s="193"/>
      <c r="AJ315" s="193"/>
      <c r="AK315" s="194"/>
      <c r="AL315" s="194"/>
      <c r="AM315" s="194"/>
      <c r="AN315" s="194"/>
      <c r="AO315" s="193"/>
    </row>
    <row r="316" spans="1:41">
      <c r="A316" s="192"/>
      <c r="B316" s="192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  <c r="AA316" s="193"/>
      <c r="AB316" s="193"/>
      <c r="AC316" s="193"/>
      <c r="AD316" s="193"/>
      <c r="AE316" s="193"/>
      <c r="AF316" s="193"/>
      <c r="AG316" s="193"/>
      <c r="AH316" s="193"/>
      <c r="AI316" s="193"/>
      <c r="AJ316" s="193"/>
      <c r="AK316" s="194"/>
      <c r="AL316" s="194"/>
      <c r="AM316" s="194"/>
      <c r="AN316" s="194"/>
      <c r="AO316" s="193"/>
    </row>
    <row r="317" spans="1:41">
      <c r="A317" s="192"/>
      <c r="B317" s="192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  <c r="AA317" s="193"/>
      <c r="AB317" s="193"/>
      <c r="AC317" s="193"/>
      <c r="AD317" s="193"/>
      <c r="AE317" s="193"/>
      <c r="AF317" s="193"/>
      <c r="AG317" s="193"/>
      <c r="AH317" s="193"/>
      <c r="AI317" s="193"/>
      <c r="AJ317" s="193"/>
      <c r="AK317" s="194"/>
      <c r="AL317" s="194"/>
      <c r="AM317" s="194"/>
      <c r="AN317" s="194"/>
      <c r="AO317" s="193"/>
    </row>
    <row r="318" spans="1:41">
      <c r="A318" s="192"/>
      <c r="B318" s="192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3"/>
      <c r="AB318" s="193"/>
      <c r="AC318" s="193"/>
      <c r="AD318" s="193"/>
      <c r="AE318" s="193"/>
      <c r="AF318" s="193"/>
      <c r="AG318" s="193"/>
      <c r="AH318" s="193"/>
      <c r="AI318" s="193"/>
      <c r="AJ318" s="193"/>
      <c r="AK318" s="194"/>
      <c r="AL318" s="194"/>
      <c r="AM318" s="194"/>
      <c r="AN318" s="194"/>
      <c r="AO318" s="193"/>
    </row>
    <row r="319" spans="1:41">
      <c r="A319" s="192"/>
      <c r="B319" s="192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3"/>
      <c r="AB319" s="193"/>
      <c r="AC319" s="193"/>
      <c r="AD319" s="193"/>
      <c r="AE319" s="193"/>
      <c r="AF319" s="193"/>
      <c r="AG319" s="193"/>
      <c r="AH319" s="193"/>
      <c r="AI319" s="193"/>
      <c r="AJ319" s="193"/>
      <c r="AK319" s="194"/>
      <c r="AL319" s="194"/>
      <c r="AM319" s="194"/>
      <c r="AN319" s="194"/>
      <c r="AO319" s="193"/>
    </row>
    <row r="320" spans="1:41">
      <c r="A320" s="192"/>
      <c r="B320" s="192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  <c r="Z320" s="192"/>
      <c r="AA320" s="193"/>
      <c r="AB320" s="193"/>
      <c r="AC320" s="193"/>
      <c r="AD320" s="193"/>
      <c r="AE320" s="193"/>
      <c r="AF320" s="193"/>
      <c r="AG320" s="193"/>
      <c r="AH320" s="193"/>
      <c r="AI320" s="193"/>
      <c r="AJ320" s="193"/>
      <c r="AK320" s="194"/>
      <c r="AL320" s="194"/>
      <c r="AM320" s="194"/>
      <c r="AN320" s="194"/>
      <c r="AO320" s="193"/>
    </row>
    <row r="321" spans="1:41">
      <c r="A321" s="192"/>
      <c r="B321" s="192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  <c r="T321" s="192"/>
      <c r="U321" s="192"/>
      <c r="V321" s="192"/>
      <c r="W321" s="192"/>
      <c r="X321" s="192"/>
      <c r="Y321" s="192"/>
      <c r="Z321" s="192"/>
      <c r="AA321" s="193"/>
      <c r="AB321" s="193"/>
      <c r="AC321" s="193"/>
      <c r="AD321" s="193"/>
      <c r="AE321" s="193"/>
      <c r="AF321" s="193"/>
      <c r="AG321" s="193"/>
      <c r="AH321" s="193"/>
      <c r="AI321" s="193"/>
      <c r="AJ321" s="193"/>
      <c r="AK321" s="194"/>
      <c r="AL321" s="194"/>
      <c r="AM321" s="194"/>
      <c r="AN321" s="194"/>
      <c r="AO321" s="193"/>
    </row>
    <row r="322" spans="1:41">
      <c r="A322" s="192"/>
      <c r="B322" s="192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  <c r="T322" s="192"/>
      <c r="U322" s="192"/>
      <c r="V322" s="192"/>
      <c r="W322" s="192"/>
      <c r="X322" s="192"/>
      <c r="Y322" s="192"/>
      <c r="Z322" s="192"/>
      <c r="AA322" s="193"/>
      <c r="AB322" s="193"/>
      <c r="AC322" s="193"/>
      <c r="AD322" s="193"/>
      <c r="AE322" s="193"/>
      <c r="AF322" s="193"/>
      <c r="AG322" s="193"/>
      <c r="AH322" s="193"/>
      <c r="AI322" s="193"/>
      <c r="AJ322" s="193"/>
      <c r="AK322" s="194"/>
      <c r="AL322" s="194"/>
      <c r="AM322" s="194"/>
      <c r="AN322" s="194"/>
      <c r="AO322" s="193"/>
    </row>
    <row r="323" spans="1:41">
      <c r="A323" s="192"/>
      <c r="B323" s="192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  <c r="AA323" s="193"/>
      <c r="AB323" s="193"/>
      <c r="AC323" s="193"/>
      <c r="AD323" s="193"/>
      <c r="AE323" s="193"/>
      <c r="AF323" s="193"/>
      <c r="AG323" s="193"/>
      <c r="AH323" s="193"/>
      <c r="AI323" s="193"/>
      <c r="AJ323" s="193"/>
      <c r="AK323" s="194"/>
      <c r="AL323" s="194"/>
      <c r="AM323" s="194"/>
      <c r="AN323" s="194"/>
      <c r="AO323" s="193"/>
    </row>
    <row r="324" spans="1:41">
      <c r="A324" s="192"/>
      <c r="B324" s="192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192"/>
      <c r="V324" s="192"/>
      <c r="W324" s="192"/>
      <c r="X324" s="192"/>
      <c r="Y324" s="192"/>
      <c r="Z324" s="192"/>
      <c r="AA324" s="193"/>
      <c r="AB324" s="193"/>
      <c r="AC324" s="193"/>
      <c r="AD324" s="193"/>
      <c r="AE324" s="193"/>
      <c r="AF324" s="193"/>
      <c r="AG324" s="193"/>
      <c r="AH324" s="193"/>
      <c r="AI324" s="193"/>
      <c r="AJ324" s="193"/>
      <c r="AK324" s="194"/>
      <c r="AL324" s="194"/>
      <c r="AM324" s="194"/>
      <c r="AN324" s="194"/>
      <c r="AO324" s="193"/>
    </row>
    <row r="325" spans="1:41">
      <c r="A325" s="192"/>
      <c r="B325" s="192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  <c r="Z325" s="192"/>
      <c r="AA325" s="193"/>
      <c r="AB325" s="193"/>
      <c r="AC325" s="193"/>
      <c r="AD325" s="193"/>
      <c r="AE325" s="193"/>
      <c r="AF325" s="193"/>
      <c r="AG325" s="193"/>
      <c r="AH325" s="193"/>
      <c r="AI325" s="193"/>
      <c r="AJ325" s="193"/>
      <c r="AK325" s="194"/>
      <c r="AL325" s="194"/>
      <c r="AM325" s="194"/>
      <c r="AN325" s="194"/>
      <c r="AO325" s="193"/>
    </row>
    <row r="326" spans="1:41">
      <c r="A326" s="192"/>
      <c r="B326" s="192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  <c r="T326" s="192"/>
      <c r="U326" s="192"/>
      <c r="V326" s="192"/>
      <c r="W326" s="192"/>
      <c r="X326" s="192"/>
      <c r="Y326" s="192"/>
      <c r="Z326" s="192"/>
      <c r="AA326" s="193"/>
      <c r="AB326" s="193"/>
      <c r="AC326" s="193"/>
      <c r="AD326" s="193"/>
      <c r="AE326" s="193"/>
      <c r="AF326" s="193"/>
      <c r="AG326" s="193"/>
      <c r="AH326" s="193"/>
      <c r="AI326" s="193"/>
      <c r="AJ326" s="193"/>
      <c r="AK326" s="194"/>
      <c r="AL326" s="194"/>
      <c r="AM326" s="194"/>
      <c r="AN326" s="194"/>
      <c r="AO326" s="193"/>
    </row>
    <row r="327" spans="1:41">
      <c r="A327" s="192"/>
      <c r="B327" s="192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  <c r="T327" s="192"/>
      <c r="U327" s="192"/>
      <c r="V327" s="192"/>
      <c r="W327" s="192"/>
      <c r="X327" s="192"/>
      <c r="Y327" s="192"/>
      <c r="Z327" s="192"/>
      <c r="AA327" s="193"/>
      <c r="AB327" s="193"/>
      <c r="AC327" s="193"/>
      <c r="AD327" s="193"/>
      <c r="AE327" s="193"/>
      <c r="AF327" s="193"/>
      <c r="AG327" s="193"/>
      <c r="AH327" s="193"/>
      <c r="AI327" s="193"/>
      <c r="AJ327" s="193"/>
      <c r="AK327" s="194"/>
      <c r="AL327" s="194"/>
      <c r="AM327" s="194"/>
      <c r="AN327" s="194"/>
      <c r="AO327" s="193"/>
    </row>
    <row r="328" spans="1:41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  <c r="W328" s="192"/>
      <c r="X328" s="192"/>
      <c r="Y328" s="192"/>
      <c r="Z328" s="192"/>
      <c r="AA328" s="193"/>
      <c r="AB328" s="193"/>
      <c r="AC328" s="193"/>
      <c r="AD328" s="193"/>
      <c r="AE328" s="193"/>
      <c r="AF328" s="193"/>
      <c r="AG328" s="193"/>
      <c r="AH328" s="193"/>
      <c r="AI328" s="193"/>
      <c r="AJ328" s="193"/>
      <c r="AK328" s="194"/>
      <c r="AL328" s="194"/>
      <c r="AM328" s="194"/>
      <c r="AN328" s="194"/>
      <c r="AO328" s="193"/>
    </row>
    <row r="329" spans="1:41">
      <c r="A329" s="192"/>
      <c r="B329" s="192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192"/>
      <c r="T329" s="192"/>
      <c r="U329" s="192"/>
      <c r="V329" s="192"/>
      <c r="W329" s="192"/>
      <c r="X329" s="192"/>
      <c r="Y329" s="192"/>
      <c r="Z329" s="192"/>
      <c r="AA329" s="193"/>
      <c r="AB329" s="193"/>
      <c r="AC329" s="193"/>
      <c r="AD329" s="193"/>
      <c r="AE329" s="193"/>
      <c r="AF329" s="193"/>
      <c r="AG329" s="193"/>
      <c r="AH329" s="193"/>
      <c r="AI329" s="193"/>
      <c r="AJ329" s="193"/>
      <c r="AK329" s="194"/>
      <c r="AL329" s="194"/>
      <c r="AM329" s="194"/>
      <c r="AN329" s="194"/>
      <c r="AO329" s="193"/>
    </row>
    <row r="330" spans="1:41">
      <c r="A330" s="192"/>
      <c r="B330" s="192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192"/>
      <c r="V330" s="192"/>
      <c r="W330" s="192"/>
      <c r="X330" s="192"/>
      <c r="Y330" s="192"/>
      <c r="Z330" s="192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4"/>
      <c r="AL330" s="194"/>
      <c r="AM330" s="194"/>
      <c r="AN330" s="194"/>
      <c r="AO330" s="193"/>
    </row>
    <row r="331" spans="1:41">
      <c r="A331" s="192"/>
      <c r="B331" s="192"/>
      <c r="C331" s="192"/>
      <c r="D331" s="192"/>
      <c r="E331" s="192"/>
      <c r="F331" s="19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2"/>
      <c r="T331" s="192"/>
      <c r="U331" s="192"/>
      <c r="V331" s="192"/>
      <c r="W331" s="192"/>
      <c r="X331" s="192"/>
      <c r="Y331" s="192"/>
      <c r="Z331" s="192"/>
      <c r="AA331" s="193"/>
      <c r="AB331" s="193"/>
      <c r="AC331" s="193"/>
      <c r="AD331" s="193"/>
      <c r="AE331" s="193"/>
      <c r="AF331" s="193"/>
      <c r="AG331" s="193"/>
      <c r="AH331" s="193"/>
      <c r="AI331" s="193"/>
      <c r="AJ331" s="193"/>
      <c r="AK331" s="194"/>
      <c r="AL331" s="194"/>
      <c r="AM331" s="194"/>
      <c r="AN331" s="194"/>
      <c r="AO331" s="193"/>
    </row>
    <row r="332" spans="1:41">
      <c r="A332" s="192"/>
      <c r="B332" s="192"/>
      <c r="C332" s="192"/>
      <c r="D332" s="192"/>
      <c r="E332" s="192"/>
      <c r="F332" s="19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192"/>
      <c r="T332" s="192"/>
      <c r="U332" s="192"/>
      <c r="V332" s="192"/>
      <c r="W332" s="192"/>
      <c r="X332" s="192"/>
      <c r="Y332" s="192"/>
      <c r="Z332" s="192"/>
      <c r="AA332" s="193"/>
      <c r="AB332" s="193"/>
      <c r="AC332" s="193"/>
      <c r="AD332" s="193"/>
      <c r="AE332" s="193"/>
      <c r="AF332" s="193"/>
      <c r="AG332" s="193"/>
      <c r="AH332" s="193"/>
      <c r="AI332" s="193"/>
      <c r="AJ332" s="193"/>
      <c r="AK332" s="194"/>
      <c r="AL332" s="194"/>
      <c r="AM332" s="194"/>
      <c r="AN332" s="194"/>
      <c r="AO332" s="193"/>
    </row>
    <row r="333" spans="1:41">
      <c r="A333" s="192"/>
      <c r="B333" s="192"/>
      <c r="C333" s="192"/>
      <c r="D333" s="192"/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192"/>
      <c r="T333" s="192"/>
      <c r="U333" s="192"/>
      <c r="V333" s="192"/>
      <c r="W333" s="192"/>
      <c r="X333" s="192"/>
      <c r="Y333" s="192"/>
      <c r="Z333" s="192"/>
      <c r="AA333" s="193"/>
      <c r="AB333" s="193"/>
      <c r="AC333" s="193"/>
      <c r="AD333" s="193"/>
      <c r="AE333" s="193"/>
      <c r="AF333" s="193"/>
      <c r="AG333" s="193"/>
      <c r="AH333" s="193"/>
      <c r="AI333" s="193"/>
      <c r="AJ333" s="193"/>
      <c r="AK333" s="194"/>
      <c r="AL333" s="194"/>
      <c r="AM333" s="194"/>
      <c r="AN333" s="194"/>
      <c r="AO333" s="193"/>
    </row>
    <row r="334" spans="1:41">
      <c r="A334" s="192"/>
      <c r="B334" s="192"/>
      <c r="C334" s="192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192"/>
      <c r="V334" s="192"/>
      <c r="W334" s="192"/>
      <c r="X334" s="192"/>
      <c r="Y334" s="192"/>
      <c r="Z334" s="192"/>
      <c r="AA334" s="193"/>
      <c r="AB334" s="193"/>
      <c r="AC334" s="193"/>
      <c r="AD334" s="193"/>
      <c r="AE334" s="193"/>
      <c r="AF334" s="193"/>
      <c r="AG334" s="193"/>
      <c r="AH334" s="193"/>
      <c r="AI334" s="193"/>
      <c r="AJ334" s="193"/>
      <c r="AK334" s="194"/>
      <c r="AL334" s="194"/>
      <c r="AM334" s="194"/>
      <c r="AN334" s="194"/>
      <c r="AO334" s="193"/>
    </row>
    <row r="335" spans="1:41">
      <c r="A335" s="192"/>
      <c r="B335" s="192"/>
      <c r="C335" s="192"/>
      <c r="D335" s="192"/>
      <c r="E335" s="192"/>
      <c r="F335" s="19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192"/>
      <c r="T335" s="192"/>
      <c r="U335" s="192"/>
      <c r="V335" s="192"/>
      <c r="W335" s="192"/>
      <c r="X335" s="192"/>
      <c r="Y335" s="192"/>
      <c r="Z335" s="192"/>
      <c r="AA335" s="193"/>
      <c r="AB335" s="193"/>
      <c r="AC335" s="193"/>
      <c r="AD335" s="193"/>
      <c r="AE335" s="193"/>
      <c r="AF335" s="193"/>
      <c r="AG335" s="193"/>
      <c r="AH335" s="193"/>
      <c r="AI335" s="193"/>
      <c r="AJ335" s="193"/>
      <c r="AK335" s="194"/>
      <c r="AL335" s="194"/>
      <c r="AM335" s="194"/>
      <c r="AN335" s="194"/>
      <c r="AO335" s="193"/>
    </row>
    <row r="336" spans="1:41">
      <c r="A336" s="192"/>
      <c r="B336" s="192"/>
      <c r="C336" s="192"/>
      <c r="D336" s="192"/>
      <c r="E336" s="192"/>
      <c r="F336" s="19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192"/>
      <c r="T336" s="192"/>
      <c r="U336" s="192"/>
      <c r="V336" s="192"/>
      <c r="W336" s="192"/>
      <c r="X336" s="192"/>
      <c r="Y336" s="192"/>
      <c r="Z336" s="192"/>
      <c r="AA336" s="193"/>
      <c r="AB336" s="193"/>
      <c r="AC336" s="193"/>
      <c r="AD336" s="193"/>
      <c r="AE336" s="193"/>
      <c r="AF336" s="193"/>
      <c r="AG336" s="193"/>
      <c r="AH336" s="193"/>
      <c r="AI336" s="193"/>
      <c r="AJ336" s="193"/>
      <c r="AK336" s="194"/>
      <c r="AL336" s="194"/>
      <c r="AM336" s="194"/>
      <c r="AN336" s="194"/>
      <c r="AO336" s="193"/>
    </row>
    <row r="337" spans="1:41">
      <c r="A337" s="192"/>
      <c r="B337" s="192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  <c r="Z337" s="192"/>
      <c r="AA337" s="193"/>
      <c r="AB337" s="193"/>
      <c r="AC337" s="193"/>
      <c r="AD337" s="193"/>
      <c r="AE337" s="193"/>
      <c r="AF337" s="193"/>
      <c r="AG337" s="193"/>
      <c r="AH337" s="193"/>
      <c r="AI337" s="193"/>
      <c r="AJ337" s="193"/>
      <c r="AK337" s="194"/>
      <c r="AL337" s="194"/>
      <c r="AM337" s="194"/>
      <c r="AN337" s="194"/>
      <c r="AO337" s="193"/>
    </row>
    <row r="338" spans="1:41">
      <c r="A338" s="192"/>
      <c r="B338" s="192"/>
      <c r="C338" s="192"/>
      <c r="D338" s="192"/>
      <c r="E338" s="192"/>
      <c r="F338" s="19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192"/>
      <c r="S338" s="192"/>
      <c r="T338" s="192"/>
      <c r="U338" s="192"/>
      <c r="V338" s="192"/>
      <c r="W338" s="192"/>
      <c r="X338" s="192"/>
      <c r="Y338" s="192"/>
      <c r="Z338" s="192"/>
      <c r="AA338" s="193"/>
      <c r="AB338" s="193"/>
      <c r="AC338" s="193"/>
      <c r="AD338" s="193"/>
      <c r="AE338" s="193"/>
      <c r="AF338" s="193"/>
      <c r="AG338" s="193"/>
      <c r="AH338" s="193"/>
      <c r="AI338" s="193"/>
      <c r="AJ338" s="193"/>
      <c r="AK338" s="194"/>
      <c r="AL338" s="194"/>
      <c r="AM338" s="194"/>
      <c r="AN338" s="194"/>
      <c r="AO338" s="193"/>
    </row>
    <row r="339" spans="1:41">
      <c r="A339" s="192"/>
      <c r="B339" s="192"/>
      <c r="C339" s="192"/>
      <c r="D339" s="192"/>
      <c r="E339" s="192"/>
      <c r="F339" s="19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192"/>
      <c r="S339" s="192"/>
      <c r="T339" s="192"/>
      <c r="U339" s="192"/>
      <c r="V339" s="192"/>
      <c r="W339" s="192"/>
      <c r="X339" s="192"/>
      <c r="Y339" s="192"/>
      <c r="Z339" s="192"/>
      <c r="AA339" s="193"/>
      <c r="AB339" s="193"/>
      <c r="AC339" s="193"/>
      <c r="AD339" s="193"/>
      <c r="AE339" s="193"/>
      <c r="AF339" s="193"/>
      <c r="AG339" s="193"/>
      <c r="AH339" s="193"/>
      <c r="AI339" s="193"/>
      <c r="AJ339" s="193"/>
      <c r="AK339" s="194"/>
      <c r="AL339" s="194"/>
      <c r="AM339" s="194"/>
      <c r="AN339" s="194"/>
      <c r="AO339" s="193"/>
    </row>
    <row r="340" spans="1:41">
      <c r="A340" s="192"/>
      <c r="B340" s="192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192"/>
      <c r="S340" s="192"/>
      <c r="T340" s="192"/>
      <c r="U340" s="192"/>
      <c r="V340" s="192"/>
      <c r="W340" s="192"/>
      <c r="X340" s="192"/>
      <c r="Y340" s="192"/>
      <c r="Z340" s="192"/>
      <c r="AA340" s="193"/>
      <c r="AB340" s="193"/>
      <c r="AC340" s="193"/>
      <c r="AD340" s="193"/>
      <c r="AE340" s="193"/>
      <c r="AF340" s="193"/>
      <c r="AG340" s="193"/>
      <c r="AH340" s="193"/>
      <c r="AI340" s="193"/>
      <c r="AJ340" s="193"/>
      <c r="AK340" s="194"/>
      <c r="AL340" s="194"/>
      <c r="AM340" s="194"/>
      <c r="AN340" s="194"/>
      <c r="AO340" s="193"/>
    </row>
    <row r="341" spans="1:41">
      <c r="A341" s="192"/>
      <c r="B341" s="192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192"/>
      <c r="T341" s="192"/>
      <c r="U341" s="192"/>
      <c r="V341" s="192"/>
      <c r="W341" s="192"/>
      <c r="X341" s="192"/>
      <c r="Y341" s="192"/>
      <c r="Z341" s="192"/>
      <c r="AA341" s="193"/>
      <c r="AB341" s="193"/>
      <c r="AC341" s="193"/>
      <c r="AD341" s="193"/>
      <c r="AE341" s="193"/>
      <c r="AF341" s="193"/>
      <c r="AG341" s="193"/>
      <c r="AH341" s="193"/>
      <c r="AI341" s="193"/>
      <c r="AJ341" s="193"/>
      <c r="AK341" s="194"/>
      <c r="AL341" s="194"/>
      <c r="AM341" s="194"/>
      <c r="AN341" s="194"/>
      <c r="AO341" s="193"/>
    </row>
    <row r="342" spans="1:41">
      <c r="A342" s="192"/>
      <c r="B342" s="192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192"/>
      <c r="S342" s="192"/>
      <c r="T342" s="192"/>
      <c r="U342" s="192"/>
      <c r="V342" s="192"/>
      <c r="W342" s="192"/>
      <c r="X342" s="192"/>
      <c r="Y342" s="192"/>
      <c r="Z342" s="192"/>
      <c r="AA342" s="193"/>
      <c r="AB342" s="193"/>
      <c r="AC342" s="193"/>
      <c r="AD342" s="193"/>
      <c r="AE342" s="193"/>
      <c r="AF342" s="193"/>
      <c r="AG342" s="193"/>
      <c r="AH342" s="193"/>
      <c r="AI342" s="193"/>
      <c r="AJ342" s="193"/>
      <c r="AK342" s="194"/>
      <c r="AL342" s="194"/>
      <c r="AM342" s="194"/>
      <c r="AN342" s="194"/>
      <c r="AO342" s="193"/>
    </row>
    <row r="343" spans="1:41">
      <c r="A343" s="192"/>
      <c r="B343" s="192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192"/>
      <c r="T343" s="192"/>
      <c r="U343" s="192"/>
      <c r="V343" s="192"/>
      <c r="W343" s="192"/>
      <c r="X343" s="192"/>
      <c r="Y343" s="192"/>
      <c r="Z343" s="192"/>
      <c r="AA343" s="193"/>
      <c r="AB343" s="193"/>
      <c r="AC343" s="193"/>
      <c r="AD343" s="193"/>
      <c r="AE343" s="193"/>
      <c r="AF343" s="193"/>
      <c r="AG343" s="193"/>
      <c r="AH343" s="193"/>
      <c r="AI343" s="193"/>
      <c r="AJ343" s="193"/>
      <c r="AK343" s="194"/>
      <c r="AL343" s="194"/>
      <c r="AM343" s="194"/>
      <c r="AN343" s="194"/>
      <c r="AO343" s="193"/>
    </row>
    <row r="344" spans="1:41">
      <c r="A344" s="192"/>
      <c r="B344" s="192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  <c r="S344" s="192"/>
      <c r="T344" s="192"/>
      <c r="U344" s="192"/>
      <c r="V344" s="192"/>
      <c r="W344" s="192"/>
      <c r="X344" s="192"/>
      <c r="Y344" s="192"/>
      <c r="Z344" s="192"/>
      <c r="AA344" s="193"/>
      <c r="AB344" s="193"/>
      <c r="AC344" s="193"/>
      <c r="AD344" s="193"/>
      <c r="AE344" s="193"/>
      <c r="AF344" s="193"/>
      <c r="AG344" s="193"/>
      <c r="AH344" s="193"/>
      <c r="AI344" s="193"/>
      <c r="AJ344" s="193"/>
      <c r="AK344" s="194"/>
      <c r="AL344" s="194"/>
      <c r="AM344" s="194"/>
      <c r="AN344" s="194"/>
      <c r="AO344" s="193"/>
    </row>
    <row r="345" spans="1:41">
      <c r="A345" s="192"/>
      <c r="B345" s="192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  <c r="Z345" s="192"/>
      <c r="AA345" s="193"/>
      <c r="AB345" s="193"/>
      <c r="AC345" s="193"/>
      <c r="AD345" s="193"/>
      <c r="AE345" s="193"/>
      <c r="AF345" s="193"/>
      <c r="AG345" s="193"/>
      <c r="AH345" s="193"/>
      <c r="AI345" s="193"/>
      <c r="AJ345" s="193"/>
      <c r="AK345" s="194"/>
      <c r="AL345" s="194"/>
      <c r="AM345" s="194"/>
      <c r="AN345" s="194"/>
      <c r="AO345" s="193"/>
    </row>
    <row r="346" spans="1:41">
      <c r="A346" s="192"/>
      <c r="B346" s="192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192"/>
      <c r="T346" s="192"/>
      <c r="U346" s="192"/>
      <c r="V346" s="192"/>
      <c r="W346" s="192"/>
      <c r="X346" s="192"/>
      <c r="Y346" s="192"/>
      <c r="Z346" s="192"/>
      <c r="AA346" s="193"/>
      <c r="AB346" s="193"/>
      <c r="AC346" s="193"/>
      <c r="AD346" s="193"/>
      <c r="AE346" s="193"/>
      <c r="AF346" s="193"/>
      <c r="AG346" s="193"/>
      <c r="AH346" s="193"/>
      <c r="AI346" s="193"/>
      <c r="AJ346" s="193"/>
      <c r="AK346" s="194"/>
      <c r="AL346" s="194"/>
      <c r="AM346" s="194"/>
      <c r="AN346" s="194"/>
      <c r="AO346" s="193"/>
    </row>
    <row r="347" spans="1:41">
      <c r="A347" s="192"/>
      <c r="B347" s="192"/>
      <c r="C347" s="192"/>
      <c r="D347" s="192"/>
      <c r="E347" s="192"/>
      <c r="F347" s="19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192"/>
      <c r="T347" s="192"/>
      <c r="U347" s="192"/>
      <c r="V347" s="192"/>
      <c r="W347" s="192"/>
      <c r="X347" s="192"/>
      <c r="Y347" s="192"/>
      <c r="Z347" s="192"/>
      <c r="AA347" s="193"/>
      <c r="AB347" s="193"/>
      <c r="AC347" s="193"/>
      <c r="AD347" s="193"/>
      <c r="AE347" s="193"/>
      <c r="AF347" s="193"/>
      <c r="AG347" s="193"/>
      <c r="AH347" s="193"/>
      <c r="AI347" s="193"/>
      <c r="AJ347" s="193"/>
      <c r="AK347" s="194"/>
      <c r="AL347" s="194"/>
      <c r="AM347" s="194"/>
      <c r="AN347" s="194"/>
      <c r="AO347" s="193"/>
    </row>
    <row r="348" spans="1:41">
      <c r="A348" s="192"/>
      <c r="B348" s="192"/>
      <c r="C348" s="192"/>
      <c r="D348" s="192"/>
      <c r="E348" s="192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192"/>
      <c r="V348" s="192"/>
      <c r="W348" s="192"/>
      <c r="X348" s="192"/>
      <c r="Y348" s="192"/>
      <c r="Z348" s="192"/>
      <c r="AA348" s="193"/>
      <c r="AB348" s="193"/>
      <c r="AC348" s="193"/>
      <c r="AD348" s="193"/>
      <c r="AE348" s="193"/>
      <c r="AF348" s="193"/>
      <c r="AG348" s="193"/>
      <c r="AH348" s="193"/>
      <c r="AI348" s="193"/>
      <c r="AJ348" s="193"/>
      <c r="AK348" s="194"/>
      <c r="AL348" s="194"/>
      <c r="AM348" s="194"/>
      <c r="AN348" s="194"/>
      <c r="AO348" s="193"/>
    </row>
    <row r="349" spans="1:41">
      <c r="A349" s="192"/>
      <c r="B349" s="192"/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92"/>
      <c r="W349" s="192"/>
      <c r="X349" s="192"/>
      <c r="Y349" s="192"/>
      <c r="Z349" s="192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194"/>
      <c r="AL349" s="194"/>
      <c r="AM349" s="194"/>
      <c r="AN349" s="194"/>
      <c r="AO349" s="193"/>
    </row>
    <row r="350" spans="1:41">
      <c r="A350" s="192"/>
      <c r="B350" s="192"/>
      <c r="C350" s="192"/>
      <c r="D350" s="192"/>
      <c r="E350" s="192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192"/>
      <c r="V350" s="192"/>
      <c r="W350" s="192"/>
      <c r="X350" s="192"/>
      <c r="Y350" s="192"/>
      <c r="Z350" s="192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194"/>
      <c r="AL350" s="194"/>
      <c r="AM350" s="194"/>
      <c r="AN350" s="194"/>
      <c r="AO350" s="193"/>
    </row>
    <row r="351" spans="1:41">
      <c r="A351" s="192"/>
      <c r="B351" s="192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194"/>
      <c r="AL351" s="194"/>
      <c r="AM351" s="194"/>
      <c r="AN351" s="194"/>
      <c r="AO351" s="193"/>
    </row>
    <row r="352" spans="1:41">
      <c r="A352" s="192"/>
      <c r="B352" s="192"/>
      <c r="C352" s="192"/>
      <c r="D352" s="192"/>
      <c r="E352" s="192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192"/>
      <c r="V352" s="192"/>
      <c r="W352" s="192"/>
      <c r="X352" s="192"/>
      <c r="Y352" s="192"/>
      <c r="Z352" s="192"/>
      <c r="AA352" s="193"/>
      <c r="AB352" s="193"/>
      <c r="AC352" s="193"/>
      <c r="AD352" s="193"/>
      <c r="AE352" s="193"/>
      <c r="AF352" s="193"/>
      <c r="AG352" s="193"/>
      <c r="AH352" s="193"/>
      <c r="AI352" s="193"/>
      <c r="AJ352" s="193"/>
      <c r="AK352" s="194"/>
      <c r="AL352" s="194"/>
      <c r="AM352" s="194"/>
      <c r="AN352" s="194"/>
      <c r="AO352" s="193"/>
    </row>
    <row r="353" spans="1:41">
      <c r="A353" s="192"/>
      <c r="B353" s="192"/>
      <c r="C353" s="192"/>
      <c r="D353" s="192"/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192"/>
      <c r="V353" s="192"/>
      <c r="W353" s="192"/>
      <c r="X353" s="192"/>
      <c r="Y353" s="192"/>
      <c r="Z353" s="192"/>
      <c r="AA353" s="193"/>
      <c r="AB353" s="193"/>
      <c r="AC353" s="193"/>
      <c r="AD353" s="193"/>
      <c r="AE353" s="193"/>
      <c r="AF353" s="193"/>
      <c r="AG353" s="193"/>
      <c r="AH353" s="193"/>
      <c r="AI353" s="193"/>
      <c r="AJ353" s="193"/>
      <c r="AK353" s="194"/>
      <c r="AL353" s="194"/>
      <c r="AM353" s="194"/>
      <c r="AN353" s="194"/>
      <c r="AO353" s="193"/>
    </row>
    <row r="354" spans="1:41">
      <c r="A354" s="192"/>
      <c r="B354" s="192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  <c r="Z354" s="192"/>
      <c r="AA354" s="193"/>
      <c r="AB354" s="193"/>
      <c r="AC354" s="193"/>
      <c r="AD354" s="193"/>
      <c r="AE354" s="193"/>
      <c r="AF354" s="193"/>
      <c r="AG354" s="193"/>
      <c r="AH354" s="193"/>
      <c r="AI354" s="193"/>
      <c r="AJ354" s="193"/>
      <c r="AK354" s="194"/>
      <c r="AL354" s="194"/>
      <c r="AM354" s="194"/>
      <c r="AN354" s="194"/>
      <c r="AO354" s="193"/>
    </row>
    <row r="355" spans="1:41">
      <c r="A355" s="192"/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3"/>
      <c r="AB355" s="193"/>
      <c r="AC355" s="193"/>
      <c r="AD355" s="193"/>
      <c r="AE355" s="193"/>
      <c r="AF355" s="193"/>
      <c r="AG355" s="193"/>
      <c r="AH355" s="193"/>
      <c r="AI355" s="193"/>
      <c r="AJ355" s="193"/>
      <c r="AK355" s="194"/>
      <c r="AL355" s="194"/>
      <c r="AM355" s="194"/>
      <c r="AN355" s="194"/>
      <c r="AO355" s="193"/>
    </row>
    <row r="356" spans="1:41">
      <c r="A356" s="192"/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193"/>
      <c r="AB356" s="193"/>
      <c r="AC356" s="193"/>
      <c r="AD356" s="193"/>
      <c r="AE356" s="193"/>
      <c r="AF356" s="193"/>
      <c r="AG356" s="193"/>
      <c r="AH356" s="193"/>
      <c r="AI356" s="193"/>
      <c r="AJ356" s="193"/>
      <c r="AK356" s="194"/>
      <c r="AL356" s="194"/>
      <c r="AM356" s="194"/>
      <c r="AN356" s="194"/>
      <c r="AO356" s="193"/>
    </row>
    <row r="357" spans="1:41">
      <c r="A357" s="192"/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  <c r="AA357" s="193"/>
      <c r="AB357" s="193"/>
      <c r="AC357" s="193"/>
      <c r="AD357" s="193"/>
      <c r="AE357" s="193"/>
      <c r="AF357" s="193"/>
      <c r="AG357" s="193"/>
      <c r="AH357" s="193"/>
      <c r="AI357" s="193"/>
      <c r="AJ357" s="193"/>
      <c r="AK357" s="194"/>
      <c r="AL357" s="194"/>
      <c r="AM357" s="194"/>
      <c r="AN357" s="194"/>
      <c r="AO357" s="193"/>
    </row>
    <row r="358" spans="1:41">
      <c r="A358" s="192"/>
      <c r="B358" s="192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  <c r="AA358" s="193"/>
      <c r="AB358" s="193"/>
      <c r="AC358" s="193"/>
      <c r="AD358" s="193"/>
      <c r="AE358" s="193"/>
      <c r="AF358" s="193"/>
      <c r="AG358" s="193"/>
      <c r="AH358" s="193"/>
      <c r="AI358" s="193"/>
      <c r="AJ358" s="193"/>
      <c r="AK358" s="194"/>
      <c r="AL358" s="194"/>
      <c r="AM358" s="194"/>
      <c r="AN358" s="194"/>
      <c r="AO358" s="193"/>
    </row>
    <row r="359" spans="1:41">
      <c r="A359" s="192"/>
      <c r="B359" s="192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  <c r="T359" s="192"/>
      <c r="U359" s="192"/>
      <c r="V359" s="192"/>
      <c r="W359" s="192"/>
      <c r="X359" s="192"/>
      <c r="Y359" s="192"/>
      <c r="Z359" s="192"/>
      <c r="AA359" s="193"/>
      <c r="AB359" s="193"/>
      <c r="AC359" s="193"/>
      <c r="AD359" s="193"/>
      <c r="AE359" s="193"/>
      <c r="AF359" s="193"/>
      <c r="AG359" s="193"/>
      <c r="AH359" s="193"/>
      <c r="AI359" s="193"/>
      <c r="AJ359" s="193"/>
      <c r="AK359" s="194"/>
      <c r="AL359" s="194"/>
      <c r="AM359" s="194"/>
      <c r="AN359" s="194"/>
      <c r="AO359" s="193"/>
    </row>
    <row r="360" spans="1:41">
      <c r="A360" s="192"/>
      <c r="B360" s="192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192"/>
      <c r="V360" s="192"/>
      <c r="W360" s="192"/>
      <c r="X360" s="192"/>
      <c r="Y360" s="192"/>
      <c r="Z360" s="192"/>
      <c r="AA360" s="193"/>
      <c r="AB360" s="193"/>
      <c r="AC360" s="193"/>
      <c r="AD360" s="193"/>
      <c r="AE360" s="193"/>
      <c r="AF360" s="193"/>
      <c r="AG360" s="193"/>
      <c r="AH360" s="193"/>
      <c r="AI360" s="193"/>
      <c r="AJ360" s="193"/>
      <c r="AK360" s="194"/>
      <c r="AL360" s="194"/>
      <c r="AM360" s="194"/>
      <c r="AN360" s="194"/>
      <c r="AO360" s="193"/>
    </row>
    <row r="361" spans="1:41">
      <c r="A361" s="192"/>
      <c r="B361" s="192"/>
      <c r="C361" s="192"/>
      <c r="D361" s="192"/>
      <c r="E361" s="192"/>
      <c r="F361" s="19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192"/>
      <c r="T361" s="192"/>
      <c r="U361" s="192"/>
      <c r="V361" s="192"/>
      <c r="W361" s="192"/>
      <c r="X361" s="192"/>
      <c r="Y361" s="192"/>
      <c r="Z361" s="192"/>
      <c r="AA361" s="193"/>
      <c r="AB361" s="193"/>
      <c r="AC361" s="193"/>
      <c r="AD361" s="193"/>
      <c r="AE361" s="193"/>
      <c r="AF361" s="193"/>
      <c r="AG361" s="193"/>
      <c r="AH361" s="193"/>
      <c r="AI361" s="193"/>
      <c r="AJ361" s="193"/>
      <c r="AK361" s="194"/>
      <c r="AL361" s="194"/>
      <c r="AM361" s="194"/>
      <c r="AN361" s="194"/>
      <c r="AO361" s="193"/>
    </row>
    <row r="362" spans="1:41">
      <c r="A362" s="192"/>
      <c r="B362" s="192"/>
      <c r="C362" s="192"/>
      <c r="D362" s="192"/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192"/>
      <c r="T362" s="192"/>
      <c r="U362" s="192"/>
      <c r="V362" s="192"/>
      <c r="W362" s="192"/>
      <c r="X362" s="192"/>
      <c r="Y362" s="192"/>
      <c r="Z362" s="192"/>
      <c r="AA362" s="193"/>
      <c r="AB362" s="193"/>
      <c r="AC362" s="193"/>
      <c r="AD362" s="193"/>
      <c r="AE362" s="193"/>
      <c r="AF362" s="193"/>
      <c r="AG362" s="193"/>
      <c r="AH362" s="193"/>
      <c r="AI362" s="193"/>
      <c r="AJ362" s="193"/>
      <c r="AK362" s="194"/>
      <c r="AL362" s="194"/>
      <c r="AM362" s="194"/>
      <c r="AN362" s="194"/>
      <c r="AO362" s="193"/>
    </row>
    <row r="363" spans="1:41">
      <c r="A363" s="192"/>
      <c r="B363" s="192"/>
      <c r="C363" s="192"/>
      <c r="D363" s="192"/>
      <c r="E363" s="192"/>
      <c r="F363" s="19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192"/>
      <c r="T363" s="192"/>
      <c r="U363" s="192"/>
      <c r="V363" s="192"/>
      <c r="W363" s="192"/>
      <c r="X363" s="192"/>
      <c r="Y363" s="192"/>
      <c r="Z363" s="192"/>
      <c r="AA363" s="193"/>
      <c r="AB363" s="193"/>
      <c r="AC363" s="193"/>
      <c r="AD363" s="193"/>
      <c r="AE363" s="193"/>
      <c r="AF363" s="193"/>
      <c r="AG363" s="193"/>
      <c r="AH363" s="193"/>
      <c r="AI363" s="193"/>
      <c r="AJ363" s="193"/>
      <c r="AK363" s="194"/>
      <c r="AL363" s="194"/>
      <c r="AM363" s="194"/>
      <c r="AN363" s="194"/>
      <c r="AO363" s="193"/>
    </row>
    <row r="364" spans="1:41">
      <c r="A364" s="192"/>
      <c r="B364" s="192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92"/>
      <c r="W364" s="192"/>
      <c r="X364" s="192"/>
      <c r="Y364" s="192"/>
      <c r="Z364" s="192"/>
      <c r="AA364" s="193"/>
      <c r="AB364" s="193"/>
      <c r="AC364" s="193"/>
      <c r="AD364" s="193"/>
      <c r="AE364" s="193"/>
      <c r="AF364" s="193"/>
      <c r="AG364" s="193"/>
      <c r="AH364" s="193"/>
      <c r="AI364" s="193"/>
      <c r="AJ364" s="193"/>
      <c r="AK364" s="194"/>
      <c r="AL364" s="194"/>
      <c r="AM364" s="194"/>
      <c r="AN364" s="194"/>
      <c r="AO364" s="193"/>
    </row>
    <row r="365" spans="1:41">
      <c r="A365" s="192"/>
      <c r="B365" s="192"/>
      <c r="C365" s="192"/>
      <c r="D365" s="192"/>
      <c r="E365" s="192"/>
      <c r="F365" s="19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192"/>
      <c r="T365" s="192"/>
      <c r="U365" s="192"/>
      <c r="V365" s="192"/>
      <c r="W365" s="192"/>
      <c r="X365" s="192"/>
      <c r="Y365" s="192"/>
      <c r="Z365" s="192"/>
      <c r="AA365" s="193"/>
      <c r="AB365" s="193"/>
      <c r="AC365" s="193"/>
      <c r="AD365" s="193"/>
      <c r="AE365" s="193"/>
      <c r="AF365" s="193"/>
      <c r="AG365" s="193"/>
      <c r="AH365" s="193"/>
      <c r="AI365" s="193"/>
      <c r="AJ365" s="193"/>
      <c r="AK365" s="194"/>
      <c r="AL365" s="194"/>
      <c r="AM365" s="194"/>
      <c r="AN365" s="194"/>
      <c r="AO365" s="193"/>
    </row>
    <row r="366" spans="1:41">
      <c r="A366" s="192"/>
      <c r="B366" s="192"/>
      <c r="C366" s="192"/>
      <c r="D366" s="192"/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192"/>
      <c r="T366" s="192"/>
      <c r="U366" s="192"/>
      <c r="V366" s="192"/>
      <c r="W366" s="192"/>
      <c r="X366" s="192"/>
      <c r="Y366" s="192"/>
      <c r="Z366" s="192"/>
      <c r="AA366" s="193"/>
      <c r="AB366" s="193"/>
      <c r="AC366" s="193"/>
      <c r="AD366" s="193"/>
      <c r="AE366" s="193"/>
      <c r="AF366" s="193"/>
      <c r="AG366" s="193"/>
      <c r="AH366" s="193"/>
      <c r="AI366" s="193"/>
      <c r="AJ366" s="193"/>
      <c r="AK366" s="194"/>
      <c r="AL366" s="194"/>
      <c r="AM366" s="194"/>
      <c r="AN366" s="194"/>
      <c r="AO366" s="193"/>
    </row>
    <row r="367" spans="1:41">
      <c r="A367" s="192"/>
      <c r="B367" s="192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192"/>
      <c r="V367" s="192"/>
      <c r="W367" s="192"/>
      <c r="X367" s="192"/>
      <c r="Y367" s="192"/>
      <c r="Z367" s="192"/>
      <c r="AA367" s="193"/>
      <c r="AB367" s="193"/>
      <c r="AC367" s="193"/>
      <c r="AD367" s="193"/>
      <c r="AE367" s="193"/>
      <c r="AF367" s="193"/>
      <c r="AG367" s="193"/>
      <c r="AH367" s="193"/>
      <c r="AI367" s="193"/>
      <c r="AJ367" s="193"/>
      <c r="AK367" s="194"/>
      <c r="AL367" s="194"/>
      <c r="AM367" s="194"/>
      <c r="AN367" s="194"/>
      <c r="AO367" s="193"/>
    </row>
    <row r="368" spans="1:41">
      <c r="A368" s="192"/>
      <c r="B368" s="192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192"/>
      <c r="T368" s="192"/>
      <c r="U368" s="192"/>
      <c r="V368" s="192"/>
      <c r="W368" s="192"/>
      <c r="X368" s="192"/>
      <c r="Y368" s="192"/>
      <c r="Z368" s="192"/>
      <c r="AA368" s="193"/>
      <c r="AB368" s="193"/>
      <c r="AC368" s="193"/>
      <c r="AD368" s="193"/>
      <c r="AE368" s="193"/>
      <c r="AF368" s="193"/>
      <c r="AG368" s="193"/>
      <c r="AH368" s="193"/>
      <c r="AI368" s="193"/>
      <c r="AJ368" s="193"/>
      <c r="AK368" s="194"/>
      <c r="AL368" s="194"/>
      <c r="AM368" s="194"/>
      <c r="AN368" s="194"/>
      <c r="AO368" s="193"/>
    </row>
    <row r="369" spans="1:41">
      <c r="A369" s="192"/>
      <c r="B369" s="192"/>
      <c r="C369" s="192"/>
      <c r="D369" s="192"/>
      <c r="E369" s="192"/>
      <c r="F369" s="19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192"/>
      <c r="V369" s="192"/>
      <c r="W369" s="192"/>
      <c r="X369" s="192"/>
      <c r="Y369" s="192"/>
      <c r="Z369" s="192"/>
      <c r="AA369" s="193"/>
      <c r="AB369" s="193"/>
      <c r="AC369" s="193"/>
      <c r="AD369" s="193"/>
      <c r="AE369" s="193"/>
      <c r="AF369" s="193"/>
      <c r="AG369" s="193"/>
      <c r="AH369" s="193"/>
      <c r="AI369" s="193"/>
      <c r="AJ369" s="193"/>
      <c r="AK369" s="194"/>
      <c r="AL369" s="194"/>
      <c r="AM369" s="194"/>
      <c r="AN369" s="194"/>
      <c r="AO369" s="193"/>
    </row>
    <row r="370" spans="1:41">
      <c r="A370" s="192"/>
      <c r="B370" s="192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192"/>
      <c r="T370" s="192"/>
      <c r="U370" s="192"/>
      <c r="V370" s="192"/>
      <c r="W370" s="192"/>
      <c r="X370" s="192"/>
      <c r="Y370" s="192"/>
      <c r="Z370" s="192"/>
      <c r="AA370" s="193"/>
      <c r="AB370" s="193"/>
      <c r="AC370" s="193"/>
      <c r="AD370" s="193"/>
      <c r="AE370" s="193"/>
      <c r="AF370" s="193"/>
      <c r="AG370" s="193"/>
      <c r="AH370" s="193"/>
      <c r="AI370" s="193"/>
      <c r="AJ370" s="193"/>
      <c r="AK370" s="194"/>
      <c r="AL370" s="194"/>
      <c r="AM370" s="194"/>
      <c r="AN370" s="194"/>
      <c r="AO370" s="193"/>
    </row>
    <row r="371" spans="1:41">
      <c r="A371" s="192"/>
      <c r="B371" s="192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192"/>
      <c r="V371" s="192"/>
      <c r="W371" s="192"/>
      <c r="X371" s="192"/>
      <c r="Y371" s="192"/>
      <c r="Z371" s="192"/>
      <c r="AA371" s="193"/>
      <c r="AB371" s="193"/>
      <c r="AC371" s="193"/>
      <c r="AD371" s="193"/>
      <c r="AE371" s="193"/>
      <c r="AF371" s="193"/>
      <c r="AG371" s="193"/>
      <c r="AH371" s="193"/>
      <c r="AI371" s="193"/>
      <c r="AJ371" s="193"/>
      <c r="AK371" s="194"/>
      <c r="AL371" s="194"/>
      <c r="AM371" s="194"/>
      <c r="AN371" s="194"/>
      <c r="AO371" s="193"/>
    </row>
    <row r="372" spans="1:41">
      <c r="A372" s="192"/>
      <c r="B372" s="192"/>
      <c r="C372" s="192"/>
      <c r="D372" s="192"/>
      <c r="E372" s="192"/>
      <c r="F372" s="19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192"/>
      <c r="T372" s="192"/>
      <c r="U372" s="192"/>
      <c r="V372" s="192"/>
      <c r="W372" s="192"/>
      <c r="X372" s="192"/>
      <c r="Y372" s="192"/>
      <c r="Z372" s="192"/>
      <c r="AA372" s="193"/>
      <c r="AB372" s="193"/>
      <c r="AC372" s="193"/>
      <c r="AD372" s="193"/>
      <c r="AE372" s="193"/>
      <c r="AF372" s="193"/>
      <c r="AG372" s="193"/>
      <c r="AH372" s="193"/>
      <c r="AI372" s="193"/>
      <c r="AJ372" s="193"/>
      <c r="AK372" s="194"/>
      <c r="AL372" s="194"/>
      <c r="AM372" s="194"/>
      <c r="AN372" s="194"/>
      <c r="AO372" s="193"/>
    </row>
    <row r="373" spans="1:41">
      <c r="A373" s="192"/>
      <c r="B373" s="192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192"/>
      <c r="T373" s="192"/>
      <c r="U373" s="192"/>
      <c r="V373" s="192"/>
      <c r="W373" s="192"/>
      <c r="X373" s="192"/>
      <c r="Y373" s="192"/>
      <c r="Z373" s="192"/>
      <c r="AA373" s="193"/>
      <c r="AB373" s="193"/>
      <c r="AC373" s="193"/>
      <c r="AD373" s="193"/>
      <c r="AE373" s="193"/>
      <c r="AF373" s="193"/>
      <c r="AG373" s="193"/>
      <c r="AH373" s="193"/>
      <c r="AI373" s="193"/>
      <c r="AJ373" s="193"/>
      <c r="AK373" s="194"/>
      <c r="AL373" s="194"/>
      <c r="AM373" s="194"/>
      <c r="AN373" s="194"/>
      <c r="AO373" s="193"/>
    </row>
    <row r="374" spans="1:41">
      <c r="A374" s="192"/>
      <c r="B374" s="192"/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192"/>
      <c r="T374" s="192"/>
      <c r="U374" s="192"/>
      <c r="V374" s="192"/>
      <c r="W374" s="192"/>
      <c r="X374" s="192"/>
      <c r="Y374" s="192"/>
      <c r="Z374" s="192"/>
      <c r="AA374" s="193"/>
      <c r="AB374" s="193"/>
      <c r="AC374" s="193"/>
      <c r="AD374" s="193"/>
      <c r="AE374" s="193"/>
      <c r="AF374" s="193"/>
      <c r="AG374" s="193"/>
      <c r="AH374" s="193"/>
      <c r="AI374" s="193"/>
      <c r="AJ374" s="193"/>
      <c r="AK374" s="194"/>
      <c r="AL374" s="194"/>
      <c r="AM374" s="194"/>
      <c r="AN374" s="194"/>
      <c r="AO374" s="193"/>
    </row>
    <row r="375" spans="1:41">
      <c r="A375" s="192"/>
      <c r="B375" s="192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  <c r="AA375" s="193"/>
      <c r="AB375" s="193"/>
      <c r="AC375" s="193"/>
      <c r="AD375" s="193"/>
      <c r="AE375" s="193"/>
      <c r="AF375" s="193"/>
      <c r="AG375" s="193"/>
      <c r="AH375" s="193"/>
      <c r="AI375" s="193"/>
      <c r="AJ375" s="193"/>
      <c r="AK375" s="194"/>
      <c r="AL375" s="194"/>
      <c r="AM375" s="194"/>
      <c r="AN375" s="194"/>
      <c r="AO375" s="193"/>
    </row>
    <row r="376" spans="1:41">
      <c r="A376" s="192"/>
      <c r="B376" s="192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2"/>
      <c r="Y376" s="192"/>
      <c r="Z376" s="192"/>
      <c r="AA376" s="193"/>
      <c r="AB376" s="193"/>
      <c r="AC376" s="193"/>
      <c r="AD376" s="193"/>
      <c r="AE376" s="193"/>
      <c r="AF376" s="193"/>
      <c r="AG376" s="193"/>
      <c r="AH376" s="193"/>
      <c r="AI376" s="193"/>
      <c r="AJ376" s="193"/>
      <c r="AK376" s="194"/>
      <c r="AL376" s="194"/>
      <c r="AM376" s="194"/>
      <c r="AN376" s="194"/>
      <c r="AO376" s="193"/>
    </row>
    <row r="377" spans="1:41">
      <c r="A377" s="192"/>
      <c r="B377" s="192"/>
      <c r="C377" s="192"/>
      <c r="D377" s="192"/>
      <c r="E377" s="192"/>
      <c r="F377" s="19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192"/>
      <c r="T377" s="192"/>
      <c r="U377" s="192"/>
      <c r="V377" s="192"/>
      <c r="W377" s="192"/>
      <c r="X377" s="192"/>
      <c r="Y377" s="192"/>
      <c r="Z377" s="192"/>
      <c r="AA377" s="193"/>
      <c r="AB377" s="193"/>
      <c r="AC377" s="193"/>
      <c r="AD377" s="193"/>
      <c r="AE377" s="193"/>
      <c r="AF377" s="193"/>
      <c r="AG377" s="193"/>
      <c r="AH377" s="193"/>
      <c r="AI377" s="193"/>
      <c r="AJ377" s="193"/>
      <c r="AK377" s="194"/>
      <c r="AL377" s="194"/>
      <c r="AM377" s="194"/>
      <c r="AN377" s="194"/>
      <c r="AO377" s="193"/>
    </row>
    <row r="378" spans="1:41">
      <c r="A378" s="192"/>
      <c r="B378" s="192"/>
      <c r="C378" s="192"/>
      <c r="D378" s="192"/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192"/>
      <c r="T378" s="192"/>
      <c r="U378" s="192"/>
      <c r="V378" s="192"/>
      <c r="W378" s="192"/>
      <c r="X378" s="192"/>
      <c r="Y378" s="192"/>
      <c r="Z378" s="192"/>
      <c r="AA378" s="193"/>
      <c r="AB378" s="193"/>
      <c r="AC378" s="193"/>
      <c r="AD378" s="193"/>
      <c r="AE378" s="193"/>
      <c r="AF378" s="193"/>
      <c r="AG378" s="193"/>
      <c r="AH378" s="193"/>
      <c r="AI378" s="193"/>
      <c r="AJ378" s="193"/>
      <c r="AK378" s="194"/>
      <c r="AL378" s="194"/>
      <c r="AM378" s="194"/>
      <c r="AN378" s="194"/>
      <c r="AO378" s="193"/>
    </row>
    <row r="379" spans="1:41">
      <c r="A379" s="192"/>
      <c r="B379" s="192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92"/>
      <c r="W379" s="192"/>
      <c r="X379" s="192"/>
      <c r="Y379" s="192"/>
      <c r="Z379" s="192"/>
      <c r="AA379" s="193"/>
      <c r="AB379" s="193"/>
      <c r="AC379" s="193"/>
      <c r="AD379" s="193"/>
      <c r="AE379" s="193"/>
      <c r="AF379" s="193"/>
      <c r="AG379" s="193"/>
      <c r="AH379" s="193"/>
      <c r="AI379" s="193"/>
      <c r="AJ379" s="193"/>
      <c r="AK379" s="194"/>
      <c r="AL379" s="194"/>
      <c r="AM379" s="194"/>
      <c r="AN379" s="194"/>
      <c r="AO379" s="193"/>
    </row>
    <row r="380" spans="1:41">
      <c r="A380" s="192"/>
      <c r="B380" s="192"/>
      <c r="C380" s="192"/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192"/>
      <c r="T380" s="192"/>
      <c r="U380" s="192"/>
      <c r="V380" s="192"/>
      <c r="W380" s="192"/>
      <c r="X380" s="192"/>
      <c r="Y380" s="192"/>
      <c r="Z380" s="192"/>
      <c r="AA380" s="193"/>
      <c r="AB380" s="193"/>
      <c r="AC380" s="193"/>
      <c r="AD380" s="193"/>
      <c r="AE380" s="193"/>
      <c r="AF380" s="193"/>
      <c r="AG380" s="193"/>
      <c r="AH380" s="193"/>
      <c r="AI380" s="193"/>
      <c r="AJ380" s="193"/>
      <c r="AK380" s="194"/>
      <c r="AL380" s="194"/>
      <c r="AM380" s="194"/>
      <c r="AN380" s="194"/>
      <c r="AO380" s="193"/>
    </row>
    <row r="381" spans="1:41">
      <c r="A381" s="192"/>
      <c r="B381" s="192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192"/>
      <c r="S381" s="192"/>
      <c r="T381" s="192"/>
      <c r="U381" s="192"/>
      <c r="V381" s="192"/>
      <c r="W381" s="192"/>
      <c r="X381" s="192"/>
      <c r="Y381" s="192"/>
      <c r="Z381" s="192"/>
      <c r="AA381" s="193"/>
      <c r="AB381" s="193"/>
      <c r="AC381" s="193"/>
      <c r="AD381" s="193"/>
      <c r="AE381" s="193"/>
      <c r="AF381" s="193"/>
      <c r="AG381" s="193"/>
      <c r="AH381" s="193"/>
      <c r="AI381" s="193"/>
      <c r="AJ381" s="193"/>
      <c r="AK381" s="194"/>
      <c r="AL381" s="194"/>
      <c r="AM381" s="194"/>
      <c r="AN381" s="194"/>
      <c r="AO381" s="193"/>
    </row>
    <row r="382" spans="1:41">
      <c r="A382" s="192"/>
      <c r="B382" s="192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192"/>
      <c r="T382" s="192"/>
      <c r="U382" s="192"/>
      <c r="V382" s="192"/>
      <c r="W382" s="192"/>
      <c r="X382" s="192"/>
      <c r="Y382" s="192"/>
      <c r="Z382" s="192"/>
      <c r="AA382" s="193"/>
      <c r="AB382" s="193"/>
      <c r="AC382" s="193"/>
      <c r="AD382" s="193"/>
      <c r="AE382" s="193"/>
      <c r="AF382" s="193"/>
      <c r="AG382" s="193"/>
      <c r="AH382" s="193"/>
      <c r="AI382" s="193"/>
      <c r="AJ382" s="193"/>
      <c r="AK382" s="194"/>
      <c r="AL382" s="194"/>
      <c r="AM382" s="194"/>
      <c r="AN382" s="194"/>
      <c r="AO382" s="193"/>
    </row>
    <row r="383" spans="1:41">
      <c r="A383" s="192"/>
      <c r="B383" s="192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192"/>
      <c r="V383" s="192"/>
      <c r="W383" s="192"/>
      <c r="X383" s="192"/>
      <c r="Y383" s="192"/>
      <c r="Z383" s="192"/>
      <c r="AA383" s="193"/>
      <c r="AB383" s="193"/>
      <c r="AC383" s="193"/>
      <c r="AD383" s="193"/>
      <c r="AE383" s="193"/>
      <c r="AF383" s="193"/>
      <c r="AG383" s="193"/>
      <c r="AH383" s="193"/>
      <c r="AI383" s="193"/>
      <c r="AJ383" s="193"/>
      <c r="AK383" s="194"/>
      <c r="AL383" s="194"/>
      <c r="AM383" s="194"/>
      <c r="AN383" s="194"/>
      <c r="AO383" s="193"/>
    </row>
    <row r="384" spans="1:41">
      <c r="A384" s="192"/>
      <c r="B384" s="192"/>
      <c r="C384" s="192"/>
      <c r="D384" s="192"/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  <c r="S384" s="192"/>
      <c r="T384" s="192"/>
      <c r="U384" s="192"/>
      <c r="V384" s="192"/>
      <c r="W384" s="192"/>
      <c r="X384" s="192"/>
      <c r="Y384" s="192"/>
      <c r="Z384" s="192"/>
      <c r="AA384" s="193"/>
      <c r="AB384" s="193"/>
      <c r="AC384" s="193"/>
      <c r="AD384" s="193"/>
      <c r="AE384" s="193"/>
      <c r="AF384" s="193"/>
      <c r="AG384" s="193"/>
      <c r="AH384" s="193"/>
      <c r="AI384" s="193"/>
      <c r="AJ384" s="193"/>
      <c r="AK384" s="194"/>
      <c r="AL384" s="194"/>
      <c r="AM384" s="194"/>
      <c r="AN384" s="194"/>
      <c r="AO384" s="193"/>
    </row>
    <row r="385" spans="1:41">
      <c r="A385" s="192"/>
      <c r="B385" s="192"/>
      <c r="C385" s="192"/>
      <c r="D385" s="192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192"/>
      <c r="V385" s="192"/>
      <c r="W385" s="192"/>
      <c r="X385" s="192"/>
      <c r="Y385" s="192"/>
      <c r="Z385" s="192"/>
      <c r="AA385" s="193"/>
      <c r="AB385" s="193"/>
      <c r="AC385" s="193"/>
      <c r="AD385" s="193"/>
      <c r="AE385" s="193"/>
      <c r="AF385" s="193"/>
      <c r="AG385" s="193"/>
      <c r="AH385" s="193"/>
      <c r="AI385" s="193"/>
      <c r="AJ385" s="193"/>
      <c r="AK385" s="194"/>
      <c r="AL385" s="194"/>
      <c r="AM385" s="194"/>
      <c r="AN385" s="194"/>
      <c r="AO385" s="193"/>
    </row>
    <row r="386" spans="1:41">
      <c r="A386" s="192"/>
      <c r="B386" s="192"/>
      <c r="C386" s="192"/>
      <c r="D386" s="192"/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/>
      <c r="X386" s="192"/>
      <c r="Y386" s="192"/>
      <c r="Z386" s="192"/>
      <c r="AA386" s="193"/>
      <c r="AB386" s="193"/>
      <c r="AC386" s="193"/>
      <c r="AD386" s="193"/>
      <c r="AE386" s="193"/>
      <c r="AF386" s="193"/>
      <c r="AG386" s="193"/>
      <c r="AH386" s="193"/>
      <c r="AI386" s="193"/>
      <c r="AJ386" s="193"/>
      <c r="AK386" s="194"/>
      <c r="AL386" s="194"/>
      <c r="AM386" s="194"/>
      <c r="AN386" s="194"/>
      <c r="AO386" s="193"/>
    </row>
    <row r="387" spans="1:41">
      <c r="A387" s="192"/>
      <c r="B387" s="192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  <c r="AA387" s="193"/>
      <c r="AB387" s="193"/>
      <c r="AC387" s="193"/>
      <c r="AD387" s="193"/>
      <c r="AE387" s="193"/>
      <c r="AF387" s="193"/>
      <c r="AG387" s="193"/>
      <c r="AH387" s="193"/>
      <c r="AI387" s="193"/>
      <c r="AJ387" s="193"/>
      <c r="AK387" s="194"/>
      <c r="AL387" s="194"/>
      <c r="AM387" s="194"/>
      <c r="AN387" s="194"/>
      <c r="AO387" s="193"/>
    </row>
    <row r="388" spans="1:41">
      <c r="A388" s="192"/>
      <c r="B388" s="192"/>
      <c r="C388" s="192"/>
      <c r="D388" s="192"/>
      <c r="E388" s="192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  <c r="AA388" s="193"/>
      <c r="AB388" s="193"/>
      <c r="AC388" s="193"/>
      <c r="AD388" s="193"/>
      <c r="AE388" s="193"/>
      <c r="AF388" s="193"/>
      <c r="AG388" s="193"/>
      <c r="AH388" s="193"/>
      <c r="AI388" s="193"/>
      <c r="AJ388" s="193"/>
      <c r="AK388" s="194"/>
      <c r="AL388" s="194"/>
      <c r="AM388" s="194"/>
      <c r="AN388" s="194"/>
      <c r="AO388" s="193"/>
    </row>
    <row r="389" spans="1:41">
      <c r="A389" s="192"/>
      <c r="B389" s="192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92"/>
      <c r="V389" s="192"/>
      <c r="W389" s="192"/>
      <c r="X389" s="192"/>
      <c r="Y389" s="192"/>
      <c r="Z389" s="192"/>
      <c r="AA389" s="193"/>
      <c r="AB389" s="193"/>
      <c r="AC389" s="193"/>
      <c r="AD389" s="193"/>
      <c r="AE389" s="193"/>
      <c r="AF389" s="193"/>
      <c r="AG389" s="193"/>
      <c r="AH389" s="193"/>
      <c r="AI389" s="193"/>
      <c r="AJ389" s="193"/>
      <c r="AK389" s="194"/>
      <c r="AL389" s="194"/>
      <c r="AM389" s="194"/>
      <c r="AN389" s="194"/>
      <c r="AO389" s="193"/>
    </row>
    <row r="390" spans="1:41">
      <c r="A390" s="192"/>
      <c r="B390" s="192"/>
      <c r="C390" s="192"/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3"/>
      <c r="AB390" s="193"/>
      <c r="AC390" s="193"/>
      <c r="AD390" s="193"/>
      <c r="AE390" s="193"/>
      <c r="AF390" s="193"/>
      <c r="AG390" s="193"/>
      <c r="AH390" s="193"/>
      <c r="AI390" s="193"/>
      <c r="AJ390" s="193"/>
      <c r="AK390" s="194"/>
      <c r="AL390" s="194"/>
      <c r="AM390" s="194"/>
      <c r="AN390" s="194"/>
      <c r="AO390" s="193"/>
    </row>
    <row r="391" spans="1:41">
      <c r="A391" s="192"/>
      <c r="B391" s="192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3"/>
      <c r="AB391" s="193"/>
      <c r="AC391" s="193"/>
      <c r="AD391" s="193"/>
      <c r="AE391" s="193"/>
      <c r="AF391" s="193"/>
      <c r="AG391" s="193"/>
      <c r="AH391" s="193"/>
      <c r="AI391" s="193"/>
      <c r="AJ391" s="193"/>
      <c r="AK391" s="194"/>
      <c r="AL391" s="194"/>
      <c r="AM391" s="194"/>
      <c r="AN391" s="194"/>
      <c r="AO391" s="193"/>
    </row>
    <row r="392" spans="1:41">
      <c r="A392" s="192"/>
      <c r="B392" s="192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  <c r="Z392" s="192"/>
      <c r="AA392" s="193"/>
      <c r="AB392" s="193"/>
      <c r="AC392" s="193"/>
      <c r="AD392" s="193"/>
      <c r="AE392" s="193"/>
      <c r="AF392" s="193"/>
      <c r="AG392" s="193"/>
      <c r="AH392" s="193"/>
      <c r="AI392" s="193"/>
      <c r="AJ392" s="193"/>
      <c r="AK392" s="194"/>
      <c r="AL392" s="194"/>
      <c r="AM392" s="194"/>
      <c r="AN392" s="194"/>
      <c r="AO392" s="193"/>
    </row>
    <row r="393" spans="1:41">
      <c r="A393" s="192"/>
      <c r="B393" s="192"/>
      <c r="C393" s="192"/>
      <c r="D393" s="192"/>
      <c r="E393" s="192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192"/>
      <c r="V393" s="192"/>
      <c r="W393" s="192"/>
      <c r="X393" s="192"/>
      <c r="Y393" s="192"/>
      <c r="Z393" s="192"/>
      <c r="AA393" s="193"/>
      <c r="AB393" s="193"/>
      <c r="AC393" s="193"/>
      <c r="AD393" s="193"/>
      <c r="AE393" s="193"/>
      <c r="AF393" s="193"/>
      <c r="AG393" s="193"/>
      <c r="AH393" s="193"/>
      <c r="AI393" s="193"/>
      <c r="AJ393" s="193"/>
      <c r="AK393" s="194"/>
      <c r="AL393" s="194"/>
      <c r="AM393" s="194"/>
      <c r="AN393" s="194"/>
      <c r="AO393" s="193"/>
    </row>
    <row r="394" spans="1:41">
      <c r="A394" s="192"/>
      <c r="B394" s="192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92"/>
      <c r="W394" s="192"/>
      <c r="X394" s="192"/>
      <c r="Y394" s="192"/>
      <c r="Z394" s="192"/>
      <c r="AA394" s="193"/>
      <c r="AB394" s="193"/>
      <c r="AC394" s="193"/>
      <c r="AD394" s="193"/>
      <c r="AE394" s="193"/>
      <c r="AF394" s="193"/>
      <c r="AG394" s="193"/>
      <c r="AH394" s="193"/>
      <c r="AI394" s="193"/>
      <c r="AJ394" s="193"/>
      <c r="AK394" s="194"/>
      <c r="AL394" s="194"/>
      <c r="AM394" s="194"/>
      <c r="AN394" s="194"/>
      <c r="AO394" s="193"/>
    </row>
    <row r="395" spans="1:41">
      <c r="A395" s="192"/>
      <c r="B395" s="192"/>
      <c r="C395" s="192"/>
      <c r="D395" s="192"/>
      <c r="E395" s="192"/>
      <c r="F395" s="19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192"/>
      <c r="V395" s="192"/>
      <c r="W395" s="192"/>
      <c r="X395" s="192"/>
      <c r="Y395" s="192"/>
      <c r="Z395" s="192"/>
      <c r="AA395" s="193"/>
      <c r="AB395" s="193"/>
      <c r="AC395" s="193"/>
      <c r="AD395" s="193"/>
      <c r="AE395" s="193"/>
      <c r="AF395" s="193"/>
      <c r="AG395" s="193"/>
      <c r="AH395" s="193"/>
      <c r="AI395" s="193"/>
      <c r="AJ395" s="193"/>
      <c r="AK395" s="194"/>
      <c r="AL395" s="194"/>
      <c r="AM395" s="194"/>
      <c r="AN395" s="194"/>
      <c r="AO395" s="193"/>
    </row>
    <row r="396" spans="1:41">
      <c r="A396" s="192"/>
      <c r="B396" s="192"/>
      <c r="C396" s="192"/>
      <c r="D396" s="192"/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192"/>
      <c r="V396" s="192"/>
      <c r="W396" s="192"/>
      <c r="X396" s="192"/>
      <c r="Y396" s="192"/>
      <c r="Z396" s="192"/>
      <c r="AA396" s="193"/>
      <c r="AB396" s="193"/>
      <c r="AC396" s="193"/>
      <c r="AD396" s="193"/>
      <c r="AE396" s="193"/>
      <c r="AF396" s="193"/>
      <c r="AG396" s="193"/>
      <c r="AH396" s="193"/>
      <c r="AI396" s="193"/>
      <c r="AJ396" s="193"/>
      <c r="AK396" s="194"/>
      <c r="AL396" s="194"/>
      <c r="AM396" s="194"/>
      <c r="AN396" s="194"/>
      <c r="AO396" s="193"/>
    </row>
    <row r="397" spans="1:41">
      <c r="A397" s="192"/>
      <c r="B397" s="192"/>
      <c r="C397" s="192"/>
      <c r="D397" s="192"/>
      <c r="E397" s="192"/>
      <c r="F397" s="19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192"/>
      <c r="V397" s="192"/>
      <c r="W397" s="192"/>
      <c r="X397" s="192"/>
      <c r="Y397" s="192"/>
      <c r="Z397" s="192"/>
      <c r="AA397" s="193"/>
      <c r="AB397" s="193"/>
      <c r="AC397" s="193"/>
      <c r="AD397" s="193"/>
      <c r="AE397" s="193"/>
      <c r="AF397" s="193"/>
      <c r="AG397" s="193"/>
      <c r="AH397" s="193"/>
      <c r="AI397" s="193"/>
      <c r="AJ397" s="193"/>
      <c r="AK397" s="194"/>
      <c r="AL397" s="194"/>
      <c r="AM397" s="194"/>
      <c r="AN397" s="194"/>
      <c r="AO397" s="193"/>
    </row>
    <row r="398" spans="1:41">
      <c r="A398" s="192"/>
      <c r="B398" s="192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  <c r="AA398" s="193"/>
      <c r="AB398" s="193"/>
      <c r="AC398" s="193"/>
      <c r="AD398" s="193"/>
      <c r="AE398" s="193"/>
      <c r="AF398" s="193"/>
      <c r="AG398" s="193"/>
      <c r="AH398" s="193"/>
      <c r="AI398" s="193"/>
      <c r="AJ398" s="193"/>
      <c r="AK398" s="194"/>
      <c r="AL398" s="194"/>
      <c r="AM398" s="194"/>
      <c r="AN398" s="194"/>
      <c r="AO398" s="193"/>
    </row>
    <row r="399" spans="1:41">
      <c r="A399" s="192"/>
      <c r="B399" s="192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  <c r="AA399" s="193"/>
      <c r="AB399" s="193"/>
      <c r="AC399" s="193"/>
      <c r="AD399" s="193"/>
      <c r="AE399" s="193"/>
      <c r="AF399" s="193"/>
      <c r="AG399" s="193"/>
      <c r="AH399" s="193"/>
      <c r="AI399" s="193"/>
      <c r="AJ399" s="193"/>
      <c r="AK399" s="194"/>
      <c r="AL399" s="194"/>
      <c r="AM399" s="194"/>
      <c r="AN399" s="194"/>
      <c r="AO399" s="193"/>
    </row>
    <row r="400" spans="1:41">
      <c r="A400" s="192"/>
      <c r="B400" s="192"/>
      <c r="C400" s="192"/>
      <c r="D400" s="192"/>
      <c r="E400" s="192"/>
      <c r="F400" s="19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192"/>
      <c r="V400" s="192"/>
      <c r="W400" s="192"/>
      <c r="X400" s="192"/>
      <c r="Y400" s="192"/>
      <c r="Z400" s="192"/>
      <c r="AA400" s="193"/>
      <c r="AB400" s="193"/>
      <c r="AC400" s="193"/>
      <c r="AD400" s="193"/>
      <c r="AE400" s="193"/>
      <c r="AF400" s="193"/>
      <c r="AG400" s="193"/>
      <c r="AH400" s="193"/>
      <c r="AI400" s="193"/>
      <c r="AJ400" s="193"/>
      <c r="AK400" s="194"/>
      <c r="AL400" s="194"/>
      <c r="AM400" s="194"/>
      <c r="AN400" s="194"/>
      <c r="AO400" s="193"/>
    </row>
    <row r="401" spans="1:41">
      <c r="A401" s="192"/>
      <c r="B401" s="192"/>
      <c r="C401" s="192"/>
      <c r="D401" s="192"/>
      <c r="E401" s="192"/>
      <c r="F401" s="19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192"/>
      <c r="T401" s="192"/>
      <c r="U401" s="192"/>
      <c r="V401" s="192"/>
      <c r="W401" s="192"/>
      <c r="X401" s="192"/>
      <c r="Y401" s="192"/>
      <c r="Z401" s="192"/>
      <c r="AA401" s="193"/>
      <c r="AB401" s="193"/>
      <c r="AC401" s="193"/>
      <c r="AD401" s="193"/>
      <c r="AE401" s="193"/>
      <c r="AF401" s="193"/>
      <c r="AG401" s="193"/>
      <c r="AH401" s="193"/>
      <c r="AI401" s="193"/>
      <c r="AJ401" s="193"/>
      <c r="AK401" s="194"/>
      <c r="AL401" s="194"/>
      <c r="AM401" s="194"/>
      <c r="AN401" s="194"/>
      <c r="AO401" s="193"/>
    </row>
    <row r="402" spans="1:41">
      <c r="A402" s="192"/>
      <c r="B402" s="192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  <c r="AA402" s="193"/>
      <c r="AB402" s="193"/>
      <c r="AC402" s="193"/>
      <c r="AD402" s="193"/>
      <c r="AE402" s="193"/>
      <c r="AF402" s="193"/>
      <c r="AG402" s="193"/>
      <c r="AH402" s="193"/>
      <c r="AI402" s="193"/>
      <c r="AJ402" s="193"/>
      <c r="AK402" s="194"/>
      <c r="AL402" s="194"/>
      <c r="AM402" s="194"/>
      <c r="AN402" s="194"/>
      <c r="AO402" s="193"/>
    </row>
    <row r="403" spans="1:41">
      <c r="A403" s="192"/>
      <c r="B403" s="192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  <c r="AA403" s="193"/>
      <c r="AB403" s="193"/>
      <c r="AC403" s="193"/>
      <c r="AD403" s="193"/>
      <c r="AE403" s="193"/>
      <c r="AF403" s="193"/>
      <c r="AG403" s="193"/>
      <c r="AH403" s="193"/>
      <c r="AI403" s="193"/>
      <c r="AJ403" s="193"/>
      <c r="AK403" s="194"/>
      <c r="AL403" s="194"/>
      <c r="AM403" s="194"/>
      <c r="AN403" s="194"/>
      <c r="AO403" s="193"/>
    </row>
    <row r="404" spans="1:41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  <c r="AA404" s="193"/>
      <c r="AB404" s="193"/>
      <c r="AC404" s="193"/>
      <c r="AD404" s="193"/>
      <c r="AE404" s="193"/>
      <c r="AF404" s="193"/>
      <c r="AG404" s="193"/>
      <c r="AH404" s="193"/>
      <c r="AI404" s="193"/>
      <c r="AJ404" s="193"/>
      <c r="AK404" s="194"/>
      <c r="AL404" s="194"/>
      <c r="AM404" s="194"/>
      <c r="AN404" s="194"/>
      <c r="AO404" s="193"/>
    </row>
    <row r="405" spans="1:41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  <c r="AA405" s="193"/>
      <c r="AB405" s="193"/>
      <c r="AC405" s="193"/>
      <c r="AD405" s="193"/>
      <c r="AE405" s="193"/>
      <c r="AF405" s="193"/>
      <c r="AG405" s="193"/>
      <c r="AH405" s="193"/>
      <c r="AI405" s="193"/>
      <c r="AJ405" s="193"/>
      <c r="AK405" s="194"/>
      <c r="AL405" s="194"/>
      <c r="AM405" s="194"/>
      <c r="AN405" s="194"/>
      <c r="AO405" s="193"/>
    </row>
    <row r="406" spans="1:41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3"/>
      <c r="AB406" s="193"/>
      <c r="AC406" s="193"/>
      <c r="AD406" s="193"/>
      <c r="AE406" s="193"/>
      <c r="AF406" s="193"/>
      <c r="AG406" s="193"/>
      <c r="AH406" s="193"/>
      <c r="AI406" s="193"/>
      <c r="AJ406" s="193"/>
      <c r="AK406" s="194"/>
      <c r="AL406" s="194"/>
      <c r="AM406" s="194"/>
      <c r="AN406" s="194"/>
      <c r="AO406" s="193"/>
    </row>
    <row r="407" spans="1:41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3"/>
      <c r="AB407" s="193"/>
      <c r="AC407" s="193"/>
      <c r="AD407" s="193"/>
      <c r="AE407" s="193"/>
      <c r="AF407" s="193"/>
      <c r="AG407" s="193"/>
      <c r="AH407" s="193"/>
      <c r="AI407" s="193"/>
      <c r="AJ407" s="193"/>
      <c r="AK407" s="194"/>
      <c r="AL407" s="194"/>
      <c r="AM407" s="194"/>
      <c r="AN407" s="194"/>
      <c r="AO407" s="193"/>
    </row>
    <row r="408" spans="1:41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  <c r="AA408" s="193"/>
      <c r="AB408" s="193"/>
      <c r="AC408" s="193"/>
      <c r="AD408" s="193"/>
      <c r="AE408" s="193"/>
      <c r="AF408" s="193"/>
      <c r="AG408" s="193"/>
      <c r="AH408" s="193"/>
      <c r="AI408" s="193"/>
      <c r="AJ408" s="193"/>
      <c r="AK408" s="194"/>
      <c r="AL408" s="194"/>
      <c r="AM408" s="194"/>
      <c r="AN408" s="194"/>
      <c r="AO408" s="193"/>
    </row>
    <row r="409" spans="1:41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  <c r="AA409" s="193"/>
      <c r="AB409" s="193"/>
      <c r="AC409" s="193"/>
      <c r="AD409" s="193"/>
      <c r="AE409" s="193"/>
      <c r="AF409" s="193"/>
      <c r="AG409" s="193"/>
      <c r="AH409" s="193"/>
      <c r="AI409" s="193"/>
      <c r="AJ409" s="193"/>
      <c r="AK409" s="194"/>
      <c r="AL409" s="194"/>
      <c r="AM409" s="194"/>
      <c r="AN409" s="194"/>
      <c r="AO409" s="193"/>
    </row>
    <row r="410" spans="1:41">
      <c r="A410" s="192"/>
      <c r="B410" s="192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  <c r="AA410" s="193"/>
      <c r="AB410" s="193"/>
      <c r="AC410" s="193"/>
      <c r="AD410" s="193"/>
      <c r="AE410" s="193"/>
      <c r="AF410" s="193"/>
      <c r="AG410" s="193"/>
      <c r="AH410" s="193"/>
      <c r="AI410" s="193"/>
      <c r="AJ410" s="193"/>
      <c r="AK410" s="194"/>
      <c r="AL410" s="194"/>
      <c r="AM410" s="194"/>
      <c r="AN410" s="194"/>
      <c r="AO410" s="193"/>
    </row>
    <row r="411" spans="1:41">
      <c r="A411" s="192"/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3"/>
      <c r="AB411" s="193"/>
      <c r="AC411" s="193"/>
      <c r="AD411" s="193"/>
      <c r="AE411" s="193"/>
      <c r="AF411" s="193"/>
      <c r="AG411" s="193"/>
      <c r="AH411" s="193"/>
      <c r="AI411" s="193"/>
      <c r="AJ411" s="193"/>
      <c r="AK411" s="194"/>
      <c r="AL411" s="194"/>
      <c r="AM411" s="194"/>
      <c r="AN411" s="194"/>
      <c r="AO411" s="193"/>
    </row>
    <row r="412" spans="1:41">
      <c r="A412" s="192"/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3"/>
      <c r="AB412" s="193"/>
      <c r="AC412" s="193"/>
      <c r="AD412" s="193"/>
      <c r="AE412" s="193"/>
      <c r="AF412" s="193"/>
      <c r="AG412" s="193"/>
      <c r="AH412" s="193"/>
      <c r="AI412" s="193"/>
      <c r="AJ412" s="193"/>
      <c r="AK412" s="194"/>
      <c r="AL412" s="194"/>
      <c r="AM412" s="194"/>
      <c r="AN412" s="194"/>
      <c r="AO412" s="193"/>
    </row>
    <row r="413" spans="1:41">
      <c r="A413" s="192"/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3"/>
      <c r="AB413" s="193"/>
      <c r="AC413" s="193"/>
      <c r="AD413" s="193"/>
      <c r="AE413" s="193"/>
      <c r="AF413" s="193"/>
      <c r="AG413" s="193"/>
      <c r="AH413" s="193"/>
      <c r="AI413" s="193"/>
      <c r="AJ413" s="193"/>
      <c r="AK413" s="194"/>
      <c r="AL413" s="194"/>
      <c r="AM413" s="194"/>
      <c r="AN413" s="194"/>
      <c r="AO413" s="193"/>
    </row>
    <row r="414" spans="1:41">
      <c r="A414" s="192"/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3"/>
      <c r="AB414" s="193"/>
      <c r="AC414" s="193"/>
      <c r="AD414" s="193"/>
      <c r="AE414" s="193"/>
      <c r="AF414" s="193"/>
      <c r="AG414" s="193"/>
      <c r="AH414" s="193"/>
      <c r="AI414" s="193"/>
      <c r="AJ414" s="193"/>
      <c r="AK414" s="194"/>
      <c r="AL414" s="194"/>
      <c r="AM414" s="194"/>
      <c r="AN414" s="194"/>
      <c r="AO414" s="193"/>
    </row>
    <row r="415" spans="1:41">
      <c r="A415" s="192"/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3"/>
      <c r="AB415" s="193"/>
      <c r="AC415" s="193"/>
      <c r="AD415" s="193"/>
      <c r="AE415" s="193"/>
      <c r="AF415" s="193"/>
      <c r="AG415" s="193"/>
      <c r="AH415" s="193"/>
      <c r="AI415" s="193"/>
      <c r="AJ415" s="193"/>
      <c r="AK415" s="194"/>
      <c r="AL415" s="194"/>
      <c r="AM415" s="194"/>
      <c r="AN415" s="194"/>
      <c r="AO415" s="193"/>
    </row>
    <row r="416" spans="1:41">
      <c r="A416" s="192"/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  <c r="AA416" s="193"/>
      <c r="AB416" s="193"/>
      <c r="AC416" s="193"/>
      <c r="AD416" s="193"/>
      <c r="AE416" s="193"/>
      <c r="AF416" s="193"/>
      <c r="AG416" s="193"/>
      <c r="AH416" s="193"/>
      <c r="AI416" s="193"/>
      <c r="AJ416" s="193"/>
      <c r="AK416" s="194"/>
      <c r="AL416" s="194"/>
      <c r="AM416" s="194"/>
      <c r="AN416" s="194"/>
      <c r="AO416" s="193"/>
    </row>
    <row r="417" spans="1:41">
      <c r="A417" s="192"/>
      <c r="B417" s="192"/>
      <c r="C417" s="192"/>
      <c r="D417" s="192"/>
      <c r="E417" s="192"/>
      <c r="F417" s="19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92"/>
      <c r="Z417" s="192"/>
      <c r="AA417" s="193"/>
      <c r="AB417" s="193"/>
      <c r="AC417" s="193"/>
      <c r="AD417" s="193"/>
      <c r="AE417" s="193"/>
      <c r="AF417" s="193"/>
      <c r="AG417" s="193"/>
      <c r="AH417" s="193"/>
      <c r="AI417" s="193"/>
      <c r="AJ417" s="193"/>
      <c r="AK417" s="194"/>
      <c r="AL417" s="194"/>
      <c r="AM417" s="194"/>
      <c r="AN417" s="194"/>
      <c r="AO417" s="193"/>
    </row>
    <row r="418" spans="1:41">
      <c r="A418" s="192"/>
      <c r="B418" s="192"/>
      <c r="C418" s="192"/>
      <c r="D418" s="192"/>
      <c r="E418" s="192"/>
      <c r="F418" s="19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192"/>
      <c r="V418" s="192"/>
      <c r="W418" s="192"/>
      <c r="X418" s="192"/>
      <c r="Y418" s="192"/>
      <c r="Z418" s="192"/>
      <c r="AA418" s="193"/>
      <c r="AB418" s="193"/>
      <c r="AC418" s="193"/>
      <c r="AD418" s="193"/>
      <c r="AE418" s="193"/>
      <c r="AF418" s="193"/>
      <c r="AG418" s="193"/>
      <c r="AH418" s="193"/>
      <c r="AI418" s="193"/>
      <c r="AJ418" s="193"/>
      <c r="AK418" s="194"/>
      <c r="AL418" s="194"/>
      <c r="AM418" s="194"/>
      <c r="AN418" s="194"/>
      <c r="AO418" s="193"/>
    </row>
    <row r="419" spans="1:41">
      <c r="A419" s="192"/>
      <c r="B419" s="192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192"/>
      <c r="V419" s="192"/>
      <c r="W419" s="192"/>
      <c r="X419" s="192"/>
      <c r="Y419" s="192"/>
      <c r="Z419" s="192"/>
      <c r="AA419" s="193"/>
      <c r="AB419" s="193"/>
      <c r="AC419" s="193"/>
      <c r="AD419" s="193"/>
      <c r="AE419" s="193"/>
      <c r="AF419" s="193"/>
      <c r="AG419" s="193"/>
      <c r="AH419" s="193"/>
      <c r="AI419" s="193"/>
      <c r="AJ419" s="193"/>
      <c r="AK419" s="194"/>
      <c r="AL419" s="194"/>
      <c r="AM419" s="194"/>
      <c r="AN419" s="194"/>
      <c r="AO419" s="193"/>
    </row>
    <row r="420" spans="1:41">
      <c r="A420" s="192"/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  <c r="Z420" s="192"/>
      <c r="AA420" s="193"/>
      <c r="AB420" s="193"/>
      <c r="AC420" s="193"/>
      <c r="AD420" s="193"/>
      <c r="AE420" s="193"/>
      <c r="AF420" s="193"/>
      <c r="AG420" s="193"/>
      <c r="AH420" s="193"/>
      <c r="AI420" s="193"/>
      <c r="AJ420" s="193"/>
      <c r="AK420" s="194"/>
      <c r="AL420" s="194"/>
      <c r="AM420" s="194"/>
      <c r="AN420" s="194"/>
      <c r="AO420" s="193"/>
    </row>
    <row r="421" spans="1:41">
      <c r="A421" s="192"/>
      <c r="B421" s="192"/>
      <c r="C421" s="192"/>
      <c r="D421" s="192"/>
      <c r="E421" s="192"/>
      <c r="F421" s="19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192"/>
      <c r="T421" s="192"/>
      <c r="U421" s="192"/>
      <c r="V421" s="192"/>
      <c r="W421" s="192"/>
      <c r="X421" s="192"/>
      <c r="Y421" s="192"/>
      <c r="Z421" s="192"/>
      <c r="AA421" s="193"/>
      <c r="AB421" s="193"/>
      <c r="AC421" s="193"/>
      <c r="AD421" s="193"/>
      <c r="AE421" s="193"/>
      <c r="AF421" s="193"/>
      <c r="AG421" s="193"/>
      <c r="AH421" s="193"/>
      <c r="AI421" s="193"/>
      <c r="AJ421" s="193"/>
      <c r="AK421" s="194"/>
      <c r="AL421" s="194"/>
      <c r="AM421" s="194"/>
      <c r="AN421" s="194"/>
      <c r="AO421" s="193"/>
    </row>
    <row r="422" spans="1:41">
      <c r="A422" s="192"/>
      <c r="B422" s="192"/>
      <c r="C422" s="192"/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  <c r="AA422" s="193"/>
      <c r="AB422" s="193"/>
      <c r="AC422" s="193"/>
      <c r="AD422" s="193"/>
      <c r="AE422" s="193"/>
      <c r="AF422" s="193"/>
      <c r="AG422" s="193"/>
      <c r="AH422" s="193"/>
      <c r="AI422" s="193"/>
      <c r="AJ422" s="193"/>
      <c r="AK422" s="194"/>
      <c r="AL422" s="194"/>
      <c r="AM422" s="194"/>
      <c r="AN422" s="194"/>
      <c r="AO422" s="193"/>
    </row>
    <row r="423" spans="1:41">
      <c r="A423" s="192"/>
      <c r="B423" s="192"/>
      <c r="C423" s="192"/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3"/>
      <c r="AB423" s="193"/>
      <c r="AC423" s="193"/>
      <c r="AD423" s="193"/>
      <c r="AE423" s="193"/>
      <c r="AF423" s="193"/>
      <c r="AG423" s="193"/>
      <c r="AH423" s="193"/>
      <c r="AI423" s="193"/>
      <c r="AJ423" s="193"/>
      <c r="AK423" s="194"/>
      <c r="AL423" s="194"/>
      <c r="AM423" s="194"/>
      <c r="AN423" s="194"/>
      <c r="AO423" s="193"/>
    </row>
    <row r="424" spans="1:41">
      <c r="A424" s="192"/>
      <c r="B424" s="192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  <c r="Z424" s="192"/>
      <c r="AA424" s="193"/>
      <c r="AB424" s="193"/>
      <c r="AC424" s="193"/>
      <c r="AD424" s="193"/>
      <c r="AE424" s="193"/>
      <c r="AF424" s="193"/>
      <c r="AG424" s="193"/>
      <c r="AH424" s="193"/>
      <c r="AI424" s="193"/>
      <c r="AJ424" s="193"/>
      <c r="AK424" s="194"/>
      <c r="AL424" s="194"/>
      <c r="AM424" s="194"/>
      <c r="AN424" s="194"/>
      <c r="AO424" s="193"/>
    </row>
    <row r="425" spans="1:41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3"/>
      <c r="AB425" s="193"/>
      <c r="AC425" s="193"/>
      <c r="AD425" s="193"/>
      <c r="AE425" s="193"/>
      <c r="AF425" s="193"/>
      <c r="AG425" s="193"/>
      <c r="AH425" s="193"/>
      <c r="AI425" s="193"/>
      <c r="AJ425" s="193"/>
      <c r="AK425" s="194"/>
      <c r="AL425" s="194"/>
      <c r="AM425" s="194"/>
      <c r="AN425" s="194"/>
      <c r="AO425" s="193"/>
    </row>
    <row r="426" spans="1:41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3"/>
      <c r="AB426" s="193"/>
      <c r="AC426" s="193"/>
      <c r="AD426" s="193"/>
      <c r="AE426" s="193"/>
      <c r="AF426" s="193"/>
      <c r="AG426" s="193"/>
      <c r="AH426" s="193"/>
      <c r="AI426" s="193"/>
      <c r="AJ426" s="193"/>
      <c r="AK426" s="194"/>
      <c r="AL426" s="194"/>
      <c r="AM426" s="194"/>
      <c r="AN426" s="194"/>
      <c r="AO426" s="193"/>
    </row>
    <row r="427" spans="1:41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3"/>
      <c r="AB427" s="193"/>
      <c r="AC427" s="193"/>
      <c r="AD427" s="193"/>
      <c r="AE427" s="193"/>
      <c r="AF427" s="193"/>
      <c r="AG427" s="193"/>
      <c r="AH427" s="193"/>
      <c r="AI427" s="193"/>
      <c r="AJ427" s="193"/>
      <c r="AK427" s="194"/>
      <c r="AL427" s="194"/>
      <c r="AM427" s="194"/>
      <c r="AN427" s="194"/>
      <c r="AO427" s="193"/>
    </row>
    <row r="428" spans="1:41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3"/>
      <c r="AB428" s="193"/>
      <c r="AC428" s="193"/>
      <c r="AD428" s="193"/>
      <c r="AE428" s="193"/>
      <c r="AF428" s="193"/>
      <c r="AG428" s="193"/>
      <c r="AH428" s="193"/>
      <c r="AI428" s="193"/>
      <c r="AJ428" s="193"/>
      <c r="AK428" s="194"/>
      <c r="AL428" s="194"/>
      <c r="AM428" s="194"/>
      <c r="AN428" s="194"/>
      <c r="AO428" s="193"/>
    </row>
    <row r="429" spans="1:41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3"/>
      <c r="AB429" s="193"/>
      <c r="AC429" s="193"/>
      <c r="AD429" s="193"/>
      <c r="AE429" s="193"/>
      <c r="AF429" s="193"/>
      <c r="AG429" s="193"/>
      <c r="AH429" s="193"/>
      <c r="AI429" s="193"/>
      <c r="AJ429" s="193"/>
      <c r="AK429" s="194"/>
      <c r="AL429" s="194"/>
      <c r="AM429" s="194"/>
      <c r="AN429" s="194"/>
      <c r="AO429" s="193"/>
    </row>
    <row r="430" spans="1:41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3"/>
      <c r="AB430" s="193"/>
      <c r="AC430" s="193"/>
      <c r="AD430" s="193"/>
      <c r="AE430" s="193"/>
      <c r="AF430" s="193"/>
      <c r="AG430" s="193"/>
      <c r="AH430" s="193"/>
      <c r="AI430" s="193"/>
      <c r="AJ430" s="193"/>
      <c r="AK430" s="194"/>
      <c r="AL430" s="194"/>
      <c r="AM430" s="194"/>
      <c r="AN430" s="194"/>
      <c r="AO430" s="193"/>
    </row>
    <row r="431" spans="1:41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  <c r="AA431" s="193"/>
      <c r="AB431" s="193"/>
      <c r="AC431" s="193"/>
      <c r="AD431" s="193"/>
      <c r="AE431" s="193"/>
      <c r="AF431" s="193"/>
      <c r="AG431" s="193"/>
      <c r="AH431" s="193"/>
      <c r="AI431" s="193"/>
      <c r="AJ431" s="193"/>
      <c r="AK431" s="194"/>
      <c r="AL431" s="194"/>
      <c r="AM431" s="194"/>
      <c r="AN431" s="194"/>
      <c r="AO431" s="193"/>
    </row>
    <row r="432" spans="1:41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193"/>
      <c r="AB432" s="193"/>
      <c r="AC432" s="193"/>
      <c r="AD432" s="193"/>
      <c r="AE432" s="193"/>
      <c r="AF432" s="193"/>
      <c r="AG432" s="193"/>
      <c r="AH432" s="193"/>
      <c r="AI432" s="193"/>
      <c r="AJ432" s="193"/>
      <c r="AK432" s="194"/>
      <c r="AL432" s="194"/>
      <c r="AM432" s="194"/>
      <c r="AN432" s="194"/>
      <c r="AO432" s="193"/>
    </row>
    <row r="433" spans="1:41">
      <c r="A433" s="192"/>
      <c r="B433" s="192"/>
      <c r="C433" s="192"/>
      <c r="D433" s="192"/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192"/>
      <c r="S433" s="192"/>
      <c r="T433" s="192"/>
      <c r="U433" s="192"/>
      <c r="V433" s="192"/>
      <c r="W433" s="192"/>
      <c r="X433" s="192"/>
      <c r="Y433" s="192"/>
      <c r="Z433" s="192"/>
      <c r="AA433" s="193"/>
      <c r="AB433" s="193"/>
      <c r="AC433" s="193"/>
      <c r="AD433" s="193"/>
      <c r="AE433" s="193"/>
      <c r="AF433" s="193"/>
      <c r="AG433" s="193"/>
      <c r="AH433" s="193"/>
      <c r="AI433" s="193"/>
      <c r="AJ433" s="193"/>
      <c r="AK433" s="194"/>
      <c r="AL433" s="194"/>
      <c r="AM433" s="194"/>
      <c r="AN433" s="194"/>
      <c r="AO433" s="193"/>
    </row>
    <row r="434" spans="1:41">
      <c r="A434" s="192"/>
      <c r="B434" s="192"/>
      <c r="C434" s="192"/>
      <c r="D434" s="192"/>
      <c r="E434" s="192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192"/>
      <c r="S434" s="192"/>
      <c r="T434" s="192"/>
      <c r="U434" s="192"/>
      <c r="V434" s="192"/>
      <c r="W434" s="192"/>
      <c r="X434" s="192"/>
      <c r="Y434" s="192"/>
      <c r="Z434" s="192"/>
      <c r="AA434" s="193"/>
      <c r="AB434" s="193"/>
      <c r="AC434" s="193"/>
      <c r="AD434" s="193"/>
      <c r="AE434" s="193"/>
      <c r="AF434" s="193"/>
      <c r="AG434" s="193"/>
      <c r="AH434" s="193"/>
      <c r="AI434" s="193"/>
      <c r="AJ434" s="193"/>
      <c r="AK434" s="194"/>
      <c r="AL434" s="194"/>
      <c r="AM434" s="194"/>
      <c r="AN434" s="194"/>
      <c r="AO434" s="193"/>
    </row>
    <row r="435" spans="1:41">
      <c r="A435" s="192"/>
      <c r="B435" s="192"/>
      <c r="C435" s="192"/>
      <c r="D435" s="192"/>
      <c r="E435" s="192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92"/>
      <c r="Z435" s="192"/>
      <c r="AA435" s="193"/>
      <c r="AB435" s="193"/>
      <c r="AC435" s="193"/>
      <c r="AD435" s="193"/>
      <c r="AE435" s="193"/>
      <c r="AF435" s="193"/>
      <c r="AG435" s="193"/>
      <c r="AH435" s="193"/>
      <c r="AI435" s="193"/>
      <c r="AJ435" s="193"/>
      <c r="AK435" s="194"/>
      <c r="AL435" s="194"/>
      <c r="AM435" s="194"/>
      <c r="AN435" s="194"/>
      <c r="AO435" s="193"/>
    </row>
    <row r="436" spans="1:41">
      <c r="A436" s="192"/>
      <c r="B436" s="192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  <c r="Z436" s="192"/>
      <c r="AA436" s="193"/>
      <c r="AB436" s="193"/>
      <c r="AC436" s="193"/>
      <c r="AD436" s="193"/>
      <c r="AE436" s="193"/>
      <c r="AF436" s="193"/>
      <c r="AG436" s="193"/>
      <c r="AH436" s="193"/>
      <c r="AI436" s="193"/>
      <c r="AJ436" s="193"/>
      <c r="AK436" s="194"/>
      <c r="AL436" s="194"/>
      <c r="AM436" s="194"/>
      <c r="AN436" s="194"/>
      <c r="AO436" s="193"/>
    </row>
    <row r="437" spans="1:41">
      <c r="A437" s="192"/>
      <c r="B437" s="192"/>
      <c r="C437" s="192"/>
      <c r="D437" s="192"/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192"/>
      <c r="S437" s="192"/>
      <c r="T437" s="192"/>
      <c r="U437" s="192"/>
      <c r="V437" s="192"/>
      <c r="W437" s="192"/>
      <c r="X437" s="192"/>
      <c r="Y437" s="192"/>
      <c r="Z437" s="192"/>
      <c r="AA437" s="193"/>
      <c r="AB437" s="193"/>
      <c r="AC437" s="193"/>
      <c r="AD437" s="193"/>
      <c r="AE437" s="193"/>
      <c r="AF437" s="193"/>
      <c r="AG437" s="193"/>
      <c r="AH437" s="193"/>
      <c r="AI437" s="193"/>
      <c r="AJ437" s="193"/>
      <c r="AK437" s="194"/>
      <c r="AL437" s="194"/>
      <c r="AM437" s="194"/>
      <c r="AN437" s="194"/>
      <c r="AO437" s="193"/>
    </row>
    <row r="438" spans="1:41">
      <c r="A438" s="192"/>
      <c r="B438" s="192"/>
      <c r="C438" s="192"/>
      <c r="D438" s="192"/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192"/>
      <c r="S438" s="192"/>
      <c r="T438" s="192"/>
      <c r="U438" s="192"/>
      <c r="V438" s="192"/>
      <c r="W438" s="192"/>
      <c r="X438" s="192"/>
      <c r="Y438" s="192"/>
      <c r="Z438" s="192"/>
      <c r="AA438" s="193"/>
      <c r="AB438" s="193"/>
      <c r="AC438" s="193"/>
      <c r="AD438" s="193"/>
      <c r="AE438" s="193"/>
      <c r="AF438" s="193"/>
      <c r="AG438" s="193"/>
      <c r="AH438" s="193"/>
      <c r="AI438" s="193"/>
      <c r="AJ438" s="193"/>
      <c r="AK438" s="194"/>
      <c r="AL438" s="194"/>
      <c r="AM438" s="194"/>
      <c r="AN438" s="194"/>
      <c r="AO438" s="193"/>
    </row>
    <row r="439" spans="1:41">
      <c r="A439" s="192"/>
      <c r="B439" s="192"/>
      <c r="C439" s="192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92"/>
      <c r="Z439" s="192"/>
      <c r="AA439" s="193"/>
      <c r="AB439" s="193"/>
      <c r="AC439" s="193"/>
      <c r="AD439" s="193"/>
      <c r="AE439" s="193"/>
      <c r="AF439" s="193"/>
      <c r="AG439" s="193"/>
      <c r="AH439" s="193"/>
      <c r="AI439" s="193"/>
      <c r="AJ439" s="193"/>
      <c r="AK439" s="194"/>
      <c r="AL439" s="194"/>
      <c r="AM439" s="194"/>
      <c r="AN439" s="194"/>
      <c r="AO439" s="193"/>
    </row>
    <row r="440" spans="1:41">
      <c r="A440" s="192"/>
      <c r="B440" s="192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  <c r="Z440" s="192"/>
      <c r="AA440" s="193"/>
      <c r="AB440" s="193"/>
      <c r="AC440" s="193"/>
      <c r="AD440" s="193"/>
      <c r="AE440" s="193"/>
      <c r="AF440" s="193"/>
      <c r="AG440" s="193"/>
      <c r="AH440" s="193"/>
      <c r="AI440" s="193"/>
      <c r="AJ440" s="193"/>
      <c r="AK440" s="194"/>
      <c r="AL440" s="194"/>
      <c r="AM440" s="194"/>
      <c r="AN440" s="194"/>
      <c r="AO440" s="193"/>
    </row>
    <row r="441" spans="1:41">
      <c r="A441" s="192"/>
      <c r="B441" s="192"/>
      <c r="C441" s="192"/>
      <c r="D441" s="192"/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192"/>
      <c r="S441" s="192"/>
      <c r="T441" s="192"/>
      <c r="U441" s="192"/>
      <c r="V441" s="192"/>
      <c r="W441" s="192"/>
      <c r="X441" s="192"/>
      <c r="Y441" s="192"/>
      <c r="Z441" s="192"/>
      <c r="AA441" s="193"/>
      <c r="AB441" s="193"/>
      <c r="AC441" s="193"/>
      <c r="AD441" s="193"/>
      <c r="AE441" s="193"/>
      <c r="AF441" s="193"/>
      <c r="AG441" s="193"/>
      <c r="AH441" s="193"/>
      <c r="AI441" s="193"/>
      <c r="AJ441" s="193"/>
      <c r="AK441" s="194"/>
      <c r="AL441" s="194"/>
      <c r="AM441" s="194"/>
      <c r="AN441" s="194"/>
      <c r="AO441" s="193"/>
    </row>
    <row r="442" spans="1:41">
      <c r="A442" s="192"/>
      <c r="B442" s="192"/>
      <c r="C442" s="192"/>
      <c r="D442" s="192"/>
      <c r="E442" s="192"/>
      <c r="F442" s="19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192"/>
      <c r="S442" s="192"/>
      <c r="T442" s="192"/>
      <c r="U442" s="192"/>
      <c r="V442" s="192"/>
      <c r="W442" s="192"/>
      <c r="X442" s="192"/>
      <c r="Y442" s="192"/>
      <c r="Z442" s="192"/>
      <c r="AA442" s="193"/>
      <c r="AB442" s="193"/>
      <c r="AC442" s="193"/>
      <c r="AD442" s="193"/>
      <c r="AE442" s="193"/>
      <c r="AF442" s="193"/>
      <c r="AG442" s="193"/>
      <c r="AH442" s="193"/>
      <c r="AI442" s="193"/>
      <c r="AJ442" s="193"/>
      <c r="AK442" s="194"/>
      <c r="AL442" s="194"/>
      <c r="AM442" s="194"/>
      <c r="AN442" s="194"/>
      <c r="AO442" s="193"/>
    </row>
    <row r="443" spans="1:41">
      <c r="A443" s="192"/>
      <c r="B443" s="192"/>
      <c r="C443" s="192"/>
      <c r="D443" s="192"/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192"/>
      <c r="S443" s="192"/>
      <c r="T443" s="192"/>
      <c r="U443" s="192"/>
      <c r="V443" s="192"/>
      <c r="W443" s="192"/>
      <c r="X443" s="192"/>
      <c r="Y443" s="192"/>
      <c r="Z443" s="192"/>
      <c r="AA443" s="193"/>
      <c r="AB443" s="193"/>
      <c r="AC443" s="193"/>
      <c r="AD443" s="193"/>
      <c r="AE443" s="193"/>
      <c r="AF443" s="193"/>
      <c r="AG443" s="193"/>
      <c r="AH443" s="193"/>
      <c r="AI443" s="193"/>
      <c r="AJ443" s="193"/>
      <c r="AK443" s="194"/>
      <c r="AL443" s="194"/>
      <c r="AM443" s="194"/>
      <c r="AN443" s="194"/>
      <c r="AO443" s="193"/>
    </row>
    <row r="444" spans="1:41">
      <c r="A444" s="192"/>
      <c r="B444" s="192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  <c r="Z444" s="192"/>
      <c r="AA444" s="193"/>
      <c r="AB444" s="193"/>
      <c r="AC444" s="193"/>
      <c r="AD444" s="193"/>
      <c r="AE444" s="193"/>
      <c r="AF444" s="193"/>
      <c r="AG444" s="193"/>
      <c r="AH444" s="193"/>
      <c r="AI444" s="193"/>
      <c r="AJ444" s="193"/>
      <c r="AK444" s="194"/>
      <c r="AL444" s="194"/>
      <c r="AM444" s="194"/>
      <c r="AN444" s="194"/>
      <c r="AO444" s="193"/>
    </row>
    <row r="445" spans="1:41">
      <c r="A445" s="192"/>
      <c r="B445" s="192"/>
      <c r="C445" s="192"/>
      <c r="D445" s="192"/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192"/>
      <c r="S445" s="192"/>
      <c r="T445" s="192"/>
      <c r="U445" s="192"/>
      <c r="V445" s="192"/>
      <c r="W445" s="192"/>
      <c r="X445" s="192"/>
      <c r="Y445" s="192"/>
      <c r="Z445" s="192"/>
      <c r="AA445" s="193"/>
      <c r="AB445" s="193"/>
      <c r="AC445" s="193"/>
      <c r="AD445" s="193"/>
      <c r="AE445" s="193"/>
      <c r="AF445" s="193"/>
      <c r="AG445" s="193"/>
      <c r="AH445" s="193"/>
      <c r="AI445" s="193"/>
      <c r="AJ445" s="193"/>
      <c r="AK445" s="194"/>
      <c r="AL445" s="194"/>
      <c r="AM445" s="194"/>
      <c r="AN445" s="194"/>
      <c r="AO445" s="193"/>
    </row>
    <row r="446" spans="1:41">
      <c r="A446" s="192"/>
      <c r="B446" s="192"/>
      <c r="C446" s="192"/>
      <c r="D446" s="192"/>
      <c r="E446" s="192"/>
      <c r="F446" s="19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192"/>
      <c r="S446" s="192"/>
      <c r="T446" s="192"/>
      <c r="U446" s="192"/>
      <c r="V446" s="192"/>
      <c r="W446" s="192"/>
      <c r="X446" s="192"/>
      <c r="Y446" s="192"/>
      <c r="Z446" s="192"/>
      <c r="AA446" s="193"/>
      <c r="AB446" s="193"/>
      <c r="AC446" s="193"/>
      <c r="AD446" s="193"/>
      <c r="AE446" s="193"/>
      <c r="AF446" s="193"/>
      <c r="AG446" s="193"/>
      <c r="AH446" s="193"/>
      <c r="AI446" s="193"/>
      <c r="AJ446" s="193"/>
      <c r="AK446" s="194"/>
      <c r="AL446" s="194"/>
      <c r="AM446" s="194"/>
      <c r="AN446" s="194"/>
      <c r="AO446" s="193"/>
    </row>
    <row r="447" spans="1:41">
      <c r="A447" s="192"/>
      <c r="B447" s="192"/>
      <c r="C447" s="192"/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192"/>
      <c r="S447" s="192"/>
      <c r="T447" s="192"/>
      <c r="U447" s="192"/>
      <c r="V447" s="192"/>
      <c r="W447" s="192"/>
      <c r="X447" s="192"/>
      <c r="Y447" s="192"/>
      <c r="Z447" s="192"/>
      <c r="AA447" s="193"/>
      <c r="AB447" s="193"/>
      <c r="AC447" s="193"/>
      <c r="AD447" s="193"/>
      <c r="AE447" s="193"/>
      <c r="AF447" s="193"/>
      <c r="AG447" s="193"/>
      <c r="AH447" s="193"/>
      <c r="AI447" s="193"/>
      <c r="AJ447" s="193"/>
      <c r="AK447" s="194"/>
      <c r="AL447" s="194"/>
      <c r="AM447" s="194"/>
      <c r="AN447" s="194"/>
      <c r="AO447" s="193"/>
    </row>
    <row r="448" spans="1:41">
      <c r="A448" s="192"/>
      <c r="B448" s="192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192"/>
      <c r="S448" s="192"/>
      <c r="T448" s="192"/>
      <c r="U448" s="192"/>
      <c r="V448" s="192"/>
      <c r="W448" s="192"/>
      <c r="X448" s="192"/>
      <c r="Y448" s="192"/>
      <c r="Z448" s="192"/>
      <c r="AA448" s="193"/>
      <c r="AB448" s="193"/>
      <c r="AC448" s="193"/>
      <c r="AD448" s="193"/>
      <c r="AE448" s="193"/>
      <c r="AF448" s="193"/>
      <c r="AG448" s="193"/>
      <c r="AH448" s="193"/>
      <c r="AI448" s="193"/>
      <c r="AJ448" s="193"/>
      <c r="AK448" s="194"/>
      <c r="AL448" s="194"/>
      <c r="AM448" s="194"/>
      <c r="AN448" s="194"/>
      <c r="AO448" s="193"/>
    </row>
    <row r="449" spans="1:41">
      <c r="A449" s="192"/>
      <c r="B449" s="192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192"/>
      <c r="S449" s="192"/>
      <c r="T449" s="192"/>
      <c r="U449" s="192"/>
      <c r="V449" s="192"/>
      <c r="W449" s="192"/>
      <c r="X449" s="192"/>
      <c r="Y449" s="192"/>
      <c r="Z449" s="192"/>
      <c r="AA449" s="193"/>
      <c r="AB449" s="193"/>
      <c r="AC449" s="193"/>
      <c r="AD449" s="193"/>
      <c r="AE449" s="193"/>
      <c r="AF449" s="193"/>
      <c r="AG449" s="193"/>
      <c r="AH449" s="193"/>
      <c r="AI449" s="193"/>
      <c r="AJ449" s="193"/>
      <c r="AK449" s="194"/>
      <c r="AL449" s="194"/>
      <c r="AM449" s="194"/>
      <c r="AN449" s="194"/>
      <c r="AO449" s="193"/>
    </row>
    <row r="450" spans="1:41">
      <c r="A450" s="192"/>
      <c r="B450" s="192"/>
      <c r="C450" s="192"/>
      <c r="D450" s="192"/>
      <c r="E450" s="192"/>
      <c r="F450" s="19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192"/>
      <c r="S450" s="192"/>
      <c r="T450" s="192"/>
      <c r="U450" s="192"/>
      <c r="V450" s="192"/>
      <c r="W450" s="192"/>
      <c r="X450" s="192"/>
      <c r="Y450" s="192"/>
      <c r="Z450" s="192"/>
      <c r="AA450" s="193"/>
      <c r="AB450" s="193"/>
      <c r="AC450" s="193"/>
      <c r="AD450" s="193"/>
      <c r="AE450" s="193"/>
      <c r="AF450" s="193"/>
      <c r="AG450" s="193"/>
      <c r="AH450" s="193"/>
      <c r="AI450" s="193"/>
      <c r="AJ450" s="193"/>
      <c r="AK450" s="194"/>
      <c r="AL450" s="194"/>
      <c r="AM450" s="194"/>
      <c r="AN450" s="194"/>
      <c r="AO450" s="193"/>
    </row>
    <row r="451" spans="1:41">
      <c r="A451" s="192"/>
      <c r="B451" s="192"/>
      <c r="C451" s="192"/>
      <c r="D451" s="192"/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192"/>
      <c r="S451" s="192"/>
      <c r="T451" s="192"/>
      <c r="U451" s="192"/>
      <c r="V451" s="192"/>
      <c r="W451" s="192"/>
      <c r="X451" s="192"/>
      <c r="Y451" s="192"/>
      <c r="Z451" s="192"/>
      <c r="AA451" s="193"/>
      <c r="AB451" s="193"/>
      <c r="AC451" s="193"/>
      <c r="AD451" s="193"/>
      <c r="AE451" s="193"/>
      <c r="AF451" s="193"/>
      <c r="AG451" s="193"/>
      <c r="AH451" s="193"/>
      <c r="AI451" s="193"/>
      <c r="AJ451" s="193"/>
      <c r="AK451" s="194"/>
      <c r="AL451" s="194"/>
      <c r="AM451" s="194"/>
      <c r="AN451" s="194"/>
      <c r="AO451" s="193"/>
    </row>
    <row r="452" spans="1:41">
      <c r="A452" s="192"/>
      <c r="B452" s="192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192"/>
      <c r="S452" s="192"/>
      <c r="T452" s="192"/>
      <c r="U452" s="192"/>
      <c r="V452" s="192"/>
      <c r="W452" s="192"/>
      <c r="X452" s="192"/>
      <c r="Y452" s="192"/>
      <c r="Z452" s="192"/>
      <c r="AA452" s="193"/>
      <c r="AB452" s="193"/>
      <c r="AC452" s="193"/>
      <c r="AD452" s="193"/>
      <c r="AE452" s="193"/>
      <c r="AF452" s="193"/>
      <c r="AG452" s="193"/>
      <c r="AH452" s="193"/>
      <c r="AI452" s="193"/>
      <c r="AJ452" s="193"/>
      <c r="AK452" s="194"/>
      <c r="AL452" s="194"/>
      <c r="AM452" s="194"/>
      <c r="AN452" s="194"/>
      <c r="AO452" s="193"/>
    </row>
    <row r="453" spans="1:41">
      <c r="A453" s="192"/>
      <c r="B453" s="192"/>
      <c r="C453" s="192"/>
      <c r="D453" s="192"/>
      <c r="E453" s="192"/>
      <c r="F453" s="19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192"/>
      <c r="S453" s="192"/>
      <c r="T453" s="192"/>
      <c r="U453" s="192"/>
      <c r="V453" s="192"/>
      <c r="W453" s="192"/>
      <c r="X453" s="192"/>
      <c r="Y453" s="192"/>
      <c r="Z453" s="192"/>
      <c r="AA453" s="193"/>
      <c r="AB453" s="193"/>
      <c r="AC453" s="193"/>
      <c r="AD453" s="193"/>
      <c r="AE453" s="193"/>
      <c r="AF453" s="193"/>
      <c r="AG453" s="193"/>
      <c r="AH453" s="193"/>
      <c r="AI453" s="193"/>
      <c r="AJ453" s="193"/>
      <c r="AK453" s="194"/>
      <c r="AL453" s="194"/>
      <c r="AM453" s="194"/>
      <c r="AN453" s="194"/>
      <c r="AO453" s="193"/>
    </row>
    <row r="454" spans="1:41">
      <c r="A454" s="192"/>
      <c r="B454" s="192"/>
      <c r="C454" s="192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192"/>
      <c r="S454" s="192"/>
      <c r="T454" s="192"/>
      <c r="U454" s="192"/>
      <c r="V454" s="192"/>
      <c r="W454" s="192"/>
      <c r="X454" s="192"/>
      <c r="Y454" s="192"/>
      <c r="Z454" s="192"/>
      <c r="AA454" s="193"/>
      <c r="AB454" s="193"/>
      <c r="AC454" s="193"/>
      <c r="AD454" s="193"/>
      <c r="AE454" s="193"/>
      <c r="AF454" s="193"/>
      <c r="AG454" s="193"/>
      <c r="AH454" s="193"/>
      <c r="AI454" s="193"/>
      <c r="AJ454" s="193"/>
      <c r="AK454" s="194"/>
      <c r="AL454" s="194"/>
      <c r="AM454" s="194"/>
      <c r="AN454" s="194"/>
      <c r="AO454" s="193"/>
    </row>
    <row r="455" spans="1:41">
      <c r="A455" s="192"/>
      <c r="B455" s="192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  <c r="AA455" s="193"/>
      <c r="AB455" s="193"/>
      <c r="AC455" s="193"/>
      <c r="AD455" s="193"/>
      <c r="AE455" s="193"/>
      <c r="AF455" s="193"/>
      <c r="AG455" s="193"/>
      <c r="AH455" s="193"/>
      <c r="AI455" s="193"/>
      <c r="AJ455" s="193"/>
      <c r="AK455" s="194"/>
      <c r="AL455" s="194"/>
      <c r="AM455" s="194"/>
      <c r="AN455" s="194"/>
      <c r="AO455" s="193"/>
    </row>
    <row r="456" spans="1:41">
      <c r="A456" s="192"/>
      <c r="B456" s="192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192"/>
      <c r="S456" s="192"/>
      <c r="T456" s="192"/>
      <c r="U456" s="192"/>
      <c r="V456" s="192"/>
      <c r="W456" s="192"/>
      <c r="X456" s="192"/>
      <c r="Y456" s="192"/>
      <c r="Z456" s="192"/>
      <c r="AA456" s="193"/>
      <c r="AB456" s="193"/>
      <c r="AC456" s="193"/>
      <c r="AD456" s="193"/>
      <c r="AE456" s="193"/>
      <c r="AF456" s="193"/>
      <c r="AG456" s="193"/>
      <c r="AH456" s="193"/>
      <c r="AI456" s="193"/>
      <c r="AJ456" s="193"/>
      <c r="AK456" s="194"/>
      <c r="AL456" s="194"/>
      <c r="AM456" s="194"/>
      <c r="AN456" s="194"/>
      <c r="AO456" s="193"/>
    </row>
    <row r="457" spans="1:41">
      <c r="A457" s="192"/>
      <c r="B457" s="192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  <c r="Z457" s="192"/>
      <c r="AA457" s="193"/>
      <c r="AB457" s="193"/>
      <c r="AC457" s="193"/>
      <c r="AD457" s="193"/>
      <c r="AE457" s="193"/>
      <c r="AF457" s="193"/>
      <c r="AG457" s="193"/>
      <c r="AH457" s="193"/>
      <c r="AI457" s="193"/>
      <c r="AJ457" s="193"/>
      <c r="AK457" s="194"/>
      <c r="AL457" s="194"/>
      <c r="AM457" s="194"/>
      <c r="AN457" s="194"/>
      <c r="AO457" s="193"/>
    </row>
    <row r="458" spans="1:41">
      <c r="A458" s="192"/>
      <c r="B458" s="192"/>
      <c r="C458" s="192"/>
      <c r="D458" s="192"/>
      <c r="E458" s="192"/>
      <c r="F458" s="19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192"/>
      <c r="S458" s="192"/>
      <c r="T458" s="192"/>
      <c r="U458" s="192"/>
      <c r="V458" s="192"/>
      <c r="W458" s="192"/>
      <c r="X458" s="192"/>
      <c r="Y458" s="192"/>
      <c r="Z458" s="192"/>
      <c r="AA458" s="193"/>
      <c r="AB458" s="193"/>
      <c r="AC458" s="193"/>
      <c r="AD458" s="193"/>
      <c r="AE458" s="193"/>
      <c r="AF458" s="193"/>
      <c r="AG458" s="193"/>
      <c r="AH458" s="193"/>
      <c r="AI458" s="193"/>
      <c r="AJ458" s="193"/>
      <c r="AK458" s="194"/>
      <c r="AL458" s="194"/>
      <c r="AM458" s="194"/>
      <c r="AN458" s="194"/>
      <c r="AO458" s="193"/>
    </row>
    <row r="459" spans="1:41">
      <c r="A459" s="192"/>
      <c r="B459" s="192"/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192"/>
      <c r="S459" s="192"/>
      <c r="T459" s="192"/>
      <c r="U459" s="192"/>
      <c r="V459" s="192"/>
      <c r="W459" s="192"/>
      <c r="X459" s="192"/>
      <c r="Y459" s="192"/>
      <c r="Z459" s="192"/>
      <c r="AA459" s="193"/>
      <c r="AB459" s="193"/>
      <c r="AC459" s="193"/>
      <c r="AD459" s="193"/>
      <c r="AE459" s="193"/>
      <c r="AF459" s="193"/>
      <c r="AG459" s="193"/>
      <c r="AH459" s="193"/>
      <c r="AI459" s="193"/>
      <c r="AJ459" s="193"/>
      <c r="AK459" s="194"/>
      <c r="AL459" s="194"/>
      <c r="AM459" s="194"/>
      <c r="AN459" s="194"/>
      <c r="AO459" s="193"/>
    </row>
    <row r="460" spans="1:41">
      <c r="A460" s="192"/>
      <c r="B460" s="192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192"/>
      <c r="S460" s="192"/>
      <c r="T460" s="192"/>
      <c r="U460" s="192"/>
      <c r="V460" s="192"/>
      <c r="W460" s="192"/>
      <c r="X460" s="192"/>
      <c r="Y460" s="192"/>
      <c r="Z460" s="192"/>
      <c r="AA460" s="193"/>
      <c r="AB460" s="193"/>
      <c r="AC460" s="193"/>
      <c r="AD460" s="193"/>
      <c r="AE460" s="193"/>
      <c r="AF460" s="193"/>
      <c r="AG460" s="193"/>
      <c r="AH460" s="193"/>
      <c r="AI460" s="193"/>
      <c r="AJ460" s="193"/>
      <c r="AK460" s="194"/>
      <c r="AL460" s="194"/>
      <c r="AM460" s="194"/>
      <c r="AN460" s="194"/>
      <c r="AO460" s="193"/>
    </row>
    <row r="461" spans="1:41">
      <c r="A461" s="192"/>
      <c r="B461" s="192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192"/>
      <c r="S461" s="192"/>
      <c r="T461" s="192"/>
      <c r="U461" s="192"/>
      <c r="V461" s="192"/>
      <c r="W461" s="192"/>
      <c r="X461" s="192"/>
      <c r="Y461" s="192"/>
      <c r="Z461" s="192"/>
      <c r="AA461" s="193"/>
      <c r="AB461" s="193"/>
      <c r="AC461" s="193"/>
      <c r="AD461" s="193"/>
      <c r="AE461" s="193"/>
      <c r="AF461" s="193"/>
      <c r="AG461" s="193"/>
      <c r="AH461" s="193"/>
      <c r="AI461" s="193"/>
      <c r="AJ461" s="193"/>
      <c r="AK461" s="194"/>
      <c r="AL461" s="194"/>
      <c r="AM461" s="194"/>
      <c r="AN461" s="194"/>
      <c r="AO461" s="193"/>
    </row>
    <row r="462" spans="1:41">
      <c r="A462" s="192"/>
      <c r="B462" s="192"/>
      <c r="C462" s="192"/>
      <c r="D462" s="192"/>
      <c r="E462" s="192"/>
      <c r="F462" s="192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192"/>
      <c r="S462" s="192"/>
      <c r="T462" s="192"/>
      <c r="U462" s="192"/>
      <c r="V462" s="192"/>
      <c r="W462" s="192"/>
      <c r="X462" s="192"/>
      <c r="Y462" s="192"/>
      <c r="Z462" s="192"/>
      <c r="AA462" s="193"/>
      <c r="AB462" s="193"/>
      <c r="AC462" s="193"/>
      <c r="AD462" s="193"/>
      <c r="AE462" s="193"/>
      <c r="AF462" s="193"/>
      <c r="AG462" s="193"/>
      <c r="AH462" s="193"/>
      <c r="AI462" s="193"/>
      <c r="AJ462" s="193"/>
      <c r="AK462" s="194"/>
      <c r="AL462" s="194"/>
      <c r="AM462" s="194"/>
      <c r="AN462" s="194"/>
      <c r="AO462" s="193"/>
    </row>
    <row r="463" spans="1:41">
      <c r="A463" s="192"/>
      <c r="B463" s="192"/>
      <c r="C463" s="192"/>
      <c r="D463" s="192"/>
      <c r="E463" s="192"/>
      <c r="F463" s="192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192"/>
      <c r="S463" s="192"/>
      <c r="T463" s="192"/>
      <c r="U463" s="192"/>
      <c r="V463" s="192"/>
      <c r="W463" s="192"/>
      <c r="X463" s="192"/>
      <c r="Y463" s="192"/>
      <c r="Z463" s="192"/>
      <c r="AA463" s="193"/>
      <c r="AB463" s="193"/>
      <c r="AC463" s="193"/>
      <c r="AD463" s="193"/>
      <c r="AE463" s="193"/>
      <c r="AF463" s="193"/>
      <c r="AG463" s="193"/>
      <c r="AH463" s="193"/>
      <c r="AI463" s="193"/>
      <c r="AJ463" s="193"/>
      <c r="AK463" s="194"/>
      <c r="AL463" s="194"/>
      <c r="AM463" s="194"/>
      <c r="AN463" s="194"/>
      <c r="AO463" s="193"/>
    </row>
    <row r="464" spans="1:41">
      <c r="A464" s="192"/>
      <c r="B464" s="192"/>
      <c r="C464" s="192"/>
      <c r="D464" s="192"/>
      <c r="E464" s="192"/>
      <c r="F464" s="192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192"/>
      <c r="S464" s="192"/>
      <c r="T464" s="192"/>
      <c r="U464" s="192"/>
      <c r="V464" s="192"/>
      <c r="W464" s="192"/>
      <c r="X464" s="192"/>
      <c r="Y464" s="192"/>
      <c r="Z464" s="192"/>
      <c r="AA464" s="193"/>
      <c r="AB464" s="193"/>
      <c r="AC464" s="193"/>
      <c r="AD464" s="193"/>
      <c r="AE464" s="193"/>
      <c r="AF464" s="193"/>
      <c r="AG464" s="193"/>
      <c r="AH464" s="193"/>
      <c r="AI464" s="193"/>
      <c r="AJ464" s="193"/>
      <c r="AK464" s="194"/>
      <c r="AL464" s="194"/>
      <c r="AM464" s="194"/>
      <c r="AN464" s="194"/>
      <c r="AO464" s="193"/>
    </row>
    <row r="465" spans="1:41">
      <c r="A465" s="192"/>
      <c r="B465" s="192"/>
      <c r="C465" s="192"/>
      <c r="D465" s="192"/>
      <c r="E465" s="192"/>
      <c r="F465" s="192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  <c r="Z465" s="192"/>
      <c r="AA465" s="193"/>
      <c r="AB465" s="193"/>
      <c r="AC465" s="193"/>
      <c r="AD465" s="193"/>
      <c r="AE465" s="193"/>
      <c r="AF465" s="193"/>
      <c r="AG465" s="193"/>
      <c r="AH465" s="193"/>
      <c r="AI465" s="193"/>
      <c r="AJ465" s="193"/>
      <c r="AK465" s="194"/>
      <c r="AL465" s="194"/>
      <c r="AM465" s="194"/>
      <c r="AN465" s="194"/>
      <c r="AO465" s="193"/>
    </row>
    <row r="466" spans="1:41">
      <c r="A466" s="192"/>
      <c r="B466" s="192"/>
      <c r="C466" s="192"/>
      <c r="D466" s="192"/>
      <c r="E466" s="192"/>
      <c r="F466" s="192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192"/>
      <c r="S466" s="192"/>
      <c r="T466" s="192"/>
      <c r="U466" s="192"/>
      <c r="V466" s="192"/>
      <c r="W466" s="192"/>
      <c r="X466" s="192"/>
      <c r="Y466" s="192"/>
      <c r="Z466" s="192"/>
      <c r="AA466" s="193"/>
      <c r="AB466" s="193"/>
      <c r="AC466" s="193"/>
      <c r="AD466" s="193"/>
      <c r="AE466" s="193"/>
      <c r="AF466" s="193"/>
      <c r="AG466" s="193"/>
      <c r="AH466" s="193"/>
      <c r="AI466" s="193"/>
      <c r="AJ466" s="193"/>
      <c r="AK466" s="194"/>
      <c r="AL466" s="194"/>
      <c r="AM466" s="194"/>
      <c r="AN466" s="194"/>
      <c r="AO466" s="193"/>
    </row>
    <row r="467" spans="1:41">
      <c r="A467" s="192"/>
      <c r="B467" s="192"/>
      <c r="C467" s="192"/>
      <c r="D467" s="192"/>
      <c r="E467" s="192"/>
      <c r="F467" s="19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92"/>
      <c r="Z467" s="192"/>
      <c r="AA467" s="193"/>
      <c r="AB467" s="193"/>
      <c r="AC467" s="193"/>
      <c r="AD467" s="193"/>
      <c r="AE467" s="193"/>
      <c r="AF467" s="193"/>
      <c r="AG467" s="193"/>
      <c r="AH467" s="193"/>
      <c r="AI467" s="193"/>
      <c r="AJ467" s="193"/>
      <c r="AK467" s="194"/>
      <c r="AL467" s="194"/>
      <c r="AM467" s="194"/>
      <c r="AN467" s="194"/>
      <c r="AO467" s="193"/>
    </row>
    <row r="468" spans="1:41">
      <c r="A468" s="192"/>
      <c r="B468" s="192"/>
      <c r="C468" s="192"/>
      <c r="D468" s="192"/>
      <c r="E468" s="192"/>
      <c r="F468" s="192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192"/>
      <c r="S468" s="192"/>
      <c r="T468" s="192"/>
      <c r="U468" s="192"/>
      <c r="V468" s="192"/>
      <c r="W468" s="192"/>
      <c r="X468" s="192"/>
      <c r="Y468" s="192"/>
      <c r="Z468" s="192"/>
      <c r="AA468" s="193"/>
      <c r="AB468" s="193"/>
      <c r="AC468" s="193"/>
      <c r="AD468" s="193"/>
      <c r="AE468" s="193"/>
      <c r="AF468" s="193"/>
      <c r="AG468" s="193"/>
      <c r="AH468" s="193"/>
      <c r="AI468" s="193"/>
      <c r="AJ468" s="193"/>
      <c r="AK468" s="194"/>
      <c r="AL468" s="194"/>
      <c r="AM468" s="194"/>
      <c r="AN468" s="194"/>
      <c r="AO468" s="193"/>
    </row>
    <row r="469" spans="1:41">
      <c r="A469" s="192"/>
      <c r="B469" s="192"/>
      <c r="C469" s="192"/>
      <c r="D469" s="192"/>
      <c r="E469" s="192"/>
      <c r="F469" s="19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  <c r="Z469" s="192"/>
      <c r="AA469" s="193"/>
      <c r="AB469" s="193"/>
      <c r="AC469" s="193"/>
      <c r="AD469" s="193"/>
      <c r="AE469" s="193"/>
      <c r="AF469" s="193"/>
      <c r="AG469" s="193"/>
      <c r="AH469" s="193"/>
      <c r="AI469" s="193"/>
      <c r="AJ469" s="193"/>
      <c r="AK469" s="194"/>
      <c r="AL469" s="194"/>
      <c r="AM469" s="194"/>
      <c r="AN469" s="194"/>
      <c r="AO469" s="193"/>
    </row>
    <row r="470" spans="1:41">
      <c r="A470" s="192"/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94"/>
      <c r="AL470" s="194"/>
      <c r="AM470" s="194"/>
      <c r="AN470" s="194"/>
      <c r="AO470" s="193"/>
    </row>
    <row r="471" spans="1:41">
      <c r="A471" s="192"/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  <c r="AA471" s="193"/>
      <c r="AB471" s="193"/>
      <c r="AC471" s="193"/>
      <c r="AD471" s="193"/>
      <c r="AE471" s="193"/>
      <c r="AF471" s="193"/>
      <c r="AG471" s="193"/>
      <c r="AH471" s="193"/>
      <c r="AI471" s="193"/>
      <c r="AJ471" s="193"/>
      <c r="AK471" s="194"/>
      <c r="AL471" s="194"/>
      <c r="AM471" s="194"/>
      <c r="AN471" s="194"/>
      <c r="AO471" s="193"/>
    </row>
    <row r="472" spans="1:41">
      <c r="A472" s="192"/>
      <c r="B472" s="192"/>
      <c r="C472" s="192"/>
      <c r="D472" s="192"/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  <c r="AA472" s="193"/>
      <c r="AB472" s="193"/>
      <c r="AC472" s="193"/>
      <c r="AD472" s="193"/>
      <c r="AE472" s="193"/>
      <c r="AF472" s="193"/>
      <c r="AG472" s="193"/>
      <c r="AH472" s="193"/>
      <c r="AI472" s="193"/>
      <c r="AJ472" s="193"/>
      <c r="AK472" s="194"/>
      <c r="AL472" s="194"/>
      <c r="AM472" s="194"/>
      <c r="AN472" s="194"/>
      <c r="AO472" s="193"/>
    </row>
    <row r="473" spans="1:41">
      <c r="A473" s="192"/>
      <c r="B473" s="192"/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  <c r="AA473" s="193"/>
      <c r="AB473" s="193"/>
      <c r="AC473" s="193"/>
      <c r="AD473" s="193"/>
      <c r="AE473" s="193"/>
      <c r="AF473" s="193"/>
      <c r="AG473" s="193"/>
      <c r="AH473" s="193"/>
      <c r="AI473" s="193"/>
      <c r="AJ473" s="193"/>
      <c r="AK473" s="194"/>
      <c r="AL473" s="194"/>
      <c r="AM473" s="194"/>
      <c r="AN473" s="194"/>
      <c r="AO473" s="193"/>
    </row>
    <row r="474" spans="1:41">
      <c r="A474" s="192"/>
      <c r="B474" s="192"/>
      <c r="C474" s="192"/>
      <c r="D474" s="192"/>
      <c r="E474" s="192"/>
      <c r="F474" s="192"/>
      <c r="G474" s="192"/>
      <c r="H474" s="192"/>
      <c r="I474" s="192"/>
      <c r="J474" s="192"/>
      <c r="K474" s="192"/>
      <c r="L474" s="192"/>
      <c r="M474" s="192"/>
      <c r="N474" s="192"/>
      <c r="O474" s="192"/>
      <c r="P474" s="192"/>
      <c r="Q474" s="192"/>
      <c r="R474" s="192"/>
      <c r="S474" s="192"/>
      <c r="T474" s="192"/>
      <c r="U474" s="192"/>
      <c r="V474" s="192"/>
      <c r="W474" s="192"/>
      <c r="X474" s="192"/>
      <c r="Y474" s="192"/>
      <c r="Z474" s="192"/>
      <c r="AA474" s="193"/>
      <c r="AB474" s="193"/>
      <c r="AC474" s="193"/>
      <c r="AD474" s="193"/>
      <c r="AE474" s="193"/>
      <c r="AF474" s="193"/>
      <c r="AG474" s="193"/>
      <c r="AH474" s="193"/>
      <c r="AI474" s="193"/>
      <c r="AJ474" s="193"/>
      <c r="AK474" s="194"/>
      <c r="AL474" s="194"/>
      <c r="AM474" s="194"/>
      <c r="AN474" s="194"/>
      <c r="AO474" s="193"/>
    </row>
    <row r="475" spans="1:41">
      <c r="A475" s="192"/>
      <c r="B475" s="192"/>
      <c r="C475" s="192"/>
      <c r="D475" s="192"/>
      <c r="E475" s="192"/>
      <c r="F475" s="192"/>
      <c r="G475" s="192"/>
      <c r="H475" s="192"/>
      <c r="I475" s="192"/>
      <c r="J475" s="192"/>
      <c r="K475" s="192"/>
      <c r="L475" s="192"/>
      <c r="M475" s="192"/>
      <c r="N475" s="192"/>
      <c r="O475" s="192"/>
      <c r="P475" s="192"/>
      <c r="Q475" s="192"/>
      <c r="R475" s="192"/>
      <c r="S475" s="192"/>
      <c r="T475" s="192"/>
      <c r="U475" s="192"/>
      <c r="V475" s="192"/>
      <c r="W475" s="192"/>
      <c r="X475" s="192"/>
      <c r="Y475" s="192"/>
      <c r="Z475" s="192"/>
      <c r="AA475" s="193"/>
      <c r="AB475" s="193"/>
      <c r="AC475" s="193"/>
      <c r="AD475" s="193"/>
      <c r="AE475" s="193"/>
      <c r="AF475" s="193"/>
      <c r="AG475" s="193"/>
      <c r="AH475" s="193"/>
      <c r="AI475" s="193"/>
      <c r="AJ475" s="193"/>
      <c r="AK475" s="194"/>
      <c r="AL475" s="194"/>
      <c r="AM475" s="194"/>
      <c r="AN475" s="194"/>
      <c r="AO475" s="193"/>
    </row>
    <row r="476" spans="1:41">
      <c r="A476" s="192"/>
      <c r="B476" s="192"/>
      <c r="C476" s="192"/>
      <c r="D476" s="192"/>
      <c r="E476" s="192"/>
      <c r="F476" s="192"/>
      <c r="G476" s="192"/>
      <c r="H476" s="192"/>
      <c r="I476" s="192"/>
      <c r="J476" s="192"/>
      <c r="K476" s="192"/>
      <c r="L476" s="192"/>
      <c r="M476" s="192"/>
      <c r="N476" s="192"/>
      <c r="O476" s="192"/>
      <c r="P476" s="192"/>
      <c r="Q476" s="192"/>
      <c r="R476" s="192"/>
      <c r="S476" s="192"/>
      <c r="T476" s="192"/>
      <c r="U476" s="192"/>
      <c r="V476" s="192"/>
      <c r="W476" s="192"/>
      <c r="X476" s="192"/>
      <c r="Y476" s="192"/>
      <c r="Z476" s="192"/>
      <c r="AA476" s="193"/>
      <c r="AB476" s="193"/>
      <c r="AC476" s="193"/>
      <c r="AD476" s="193"/>
      <c r="AE476" s="193"/>
      <c r="AF476" s="193"/>
      <c r="AG476" s="193"/>
      <c r="AH476" s="193"/>
      <c r="AI476" s="193"/>
      <c r="AJ476" s="193"/>
      <c r="AK476" s="194"/>
      <c r="AL476" s="194"/>
      <c r="AM476" s="194"/>
      <c r="AN476" s="194"/>
      <c r="AO476" s="193"/>
    </row>
    <row r="477" spans="1:41">
      <c r="A477" s="192"/>
      <c r="B477" s="192"/>
      <c r="C477" s="192"/>
      <c r="D477" s="192"/>
      <c r="E477" s="192"/>
      <c r="F477" s="192"/>
      <c r="G477" s="192"/>
      <c r="H477" s="192"/>
      <c r="I477" s="192"/>
      <c r="J477" s="192"/>
      <c r="K477" s="192"/>
      <c r="L477" s="192"/>
      <c r="M477" s="192"/>
      <c r="N477" s="192"/>
      <c r="O477" s="192"/>
      <c r="P477" s="192"/>
      <c r="Q477" s="192"/>
      <c r="R477" s="192"/>
      <c r="S477" s="192"/>
      <c r="T477" s="192"/>
      <c r="U477" s="192"/>
      <c r="V477" s="192"/>
      <c r="W477" s="192"/>
      <c r="X477" s="192"/>
      <c r="Y477" s="192"/>
      <c r="Z477" s="192"/>
      <c r="AA477" s="193"/>
      <c r="AB477" s="193"/>
      <c r="AC477" s="193"/>
      <c r="AD477" s="193"/>
      <c r="AE477" s="193"/>
      <c r="AF477" s="193"/>
      <c r="AG477" s="193"/>
      <c r="AH477" s="193"/>
      <c r="AI477" s="193"/>
      <c r="AJ477" s="193"/>
      <c r="AK477" s="194"/>
      <c r="AL477" s="194"/>
      <c r="AM477" s="194"/>
      <c r="AN477" s="194"/>
      <c r="AO477" s="193"/>
    </row>
    <row r="478" spans="1:41">
      <c r="A478" s="192"/>
      <c r="B478" s="192"/>
      <c r="C478" s="192"/>
      <c r="D478" s="192"/>
      <c r="E478" s="192"/>
      <c r="F478" s="192"/>
      <c r="G478" s="192"/>
      <c r="H478" s="192"/>
      <c r="I478" s="192"/>
      <c r="J478" s="192"/>
      <c r="K478" s="192"/>
      <c r="L478" s="192"/>
      <c r="M478" s="192"/>
      <c r="N478" s="192"/>
      <c r="O478" s="192"/>
      <c r="P478" s="192"/>
      <c r="Q478" s="192"/>
      <c r="R478" s="192"/>
      <c r="S478" s="192"/>
      <c r="T478" s="192"/>
      <c r="U478" s="192"/>
      <c r="V478" s="192"/>
      <c r="W478" s="192"/>
      <c r="X478" s="192"/>
      <c r="Y478" s="192"/>
      <c r="Z478" s="192"/>
      <c r="AA478" s="193"/>
      <c r="AB478" s="193"/>
      <c r="AC478" s="193"/>
      <c r="AD478" s="193"/>
      <c r="AE478" s="193"/>
      <c r="AF478" s="193"/>
      <c r="AG478" s="193"/>
      <c r="AH478" s="193"/>
      <c r="AI478" s="193"/>
      <c r="AJ478" s="193"/>
      <c r="AK478" s="194"/>
      <c r="AL478" s="194"/>
      <c r="AM478" s="194"/>
      <c r="AN478" s="194"/>
      <c r="AO478" s="193"/>
    </row>
    <row r="479" spans="1:41">
      <c r="A479" s="192"/>
      <c r="B479" s="192"/>
      <c r="C479" s="192"/>
      <c r="D479" s="192"/>
      <c r="E479" s="192"/>
      <c r="F479" s="192"/>
      <c r="G479" s="192"/>
      <c r="H479" s="192"/>
      <c r="I479" s="192"/>
      <c r="J479" s="192"/>
      <c r="K479" s="192"/>
      <c r="L479" s="192"/>
      <c r="M479" s="192"/>
      <c r="N479" s="192"/>
      <c r="O479" s="192"/>
      <c r="P479" s="192"/>
      <c r="Q479" s="192"/>
      <c r="R479" s="192"/>
      <c r="S479" s="192"/>
      <c r="T479" s="192"/>
      <c r="U479" s="192"/>
      <c r="V479" s="192"/>
      <c r="W479" s="192"/>
      <c r="X479" s="192"/>
      <c r="Y479" s="192"/>
      <c r="Z479" s="192"/>
      <c r="AA479" s="193"/>
      <c r="AB479" s="193"/>
      <c r="AC479" s="193"/>
      <c r="AD479" s="193"/>
      <c r="AE479" s="193"/>
      <c r="AF479" s="193"/>
      <c r="AG479" s="193"/>
      <c r="AH479" s="193"/>
      <c r="AI479" s="193"/>
      <c r="AJ479" s="193"/>
      <c r="AK479" s="194"/>
      <c r="AL479" s="194"/>
      <c r="AM479" s="194"/>
      <c r="AN479" s="194"/>
      <c r="AO479" s="193"/>
    </row>
    <row r="480" spans="1:41">
      <c r="A480" s="192"/>
      <c r="B480" s="192"/>
      <c r="C480" s="192"/>
      <c r="D480" s="192"/>
      <c r="E480" s="192"/>
      <c r="F480" s="192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192"/>
      <c r="W480" s="192"/>
      <c r="X480" s="192"/>
      <c r="Y480" s="192"/>
      <c r="Z480" s="192"/>
      <c r="AA480" s="193"/>
      <c r="AB480" s="193"/>
      <c r="AC480" s="193"/>
      <c r="AD480" s="193"/>
      <c r="AE480" s="193"/>
      <c r="AF480" s="193"/>
      <c r="AG480" s="193"/>
      <c r="AH480" s="193"/>
      <c r="AI480" s="193"/>
      <c r="AJ480" s="193"/>
      <c r="AK480" s="194"/>
      <c r="AL480" s="194"/>
      <c r="AM480" s="194"/>
      <c r="AN480" s="194"/>
      <c r="AO480" s="193"/>
    </row>
    <row r="481" spans="1:41">
      <c r="A481" s="192"/>
      <c r="B481" s="192"/>
      <c r="C481" s="192"/>
      <c r="D481" s="192"/>
      <c r="E481" s="192"/>
      <c r="F481" s="192"/>
      <c r="G481" s="192"/>
      <c r="H481" s="192"/>
      <c r="I481" s="192"/>
      <c r="J481" s="192"/>
      <c r="K481" s="192"/>
      <c r="L481" s="192"/>
      <c r="M481" s="192"/>
      <c r="N481" s="192"/>
      <c r="O481" s="192"/>
      <c r="P481" s="192"/>
      <c r="Q481" s="192"/>
      <c r="R481" s="192"/>
      <c r="S481" s="192"/>
      <c r="T481" s="192"/>
      <c r="U481" s="192"/>
      <c r="V481" s="192"/>
      <c r="W481" s="192"/>
      <c r="X481" s="192"/>
      <c r="Y481" s="192"/>
      <c r="Z481" s="192"/>
      <c r="AA481" s="193"/>
      <c r="AB481" s="193"/>
      <c r="AC481" s="193"/>
      <c r="AD481" s="193"/>
      <c r="AE481" s="193"/>
      <c r="AF481" s="193"/>
      <c r="AG481" s="193"/>
      <c r="AH481" s="193"/>
      <c r="AI481" s="193"/>
      <c r="AJ481" s="193"/>
      <c r="AK481" s="194"/>
      <c r="AL481" s="194"/>
      <c r="AM481" s="194"/>
      <c r="AN481" s="194"/>
      <c r="AO481" s="193"/>
    </row>
    <row r="482" spans="1:41">
      <c r="A482" s="192"/>
      <c r="B482" s="192"/>
      <c r="C482" s="192"/>
      <c r="D482" s="192"/>
      <c r="E482" s="192"/>
      <c r="F482" s="192"/>
      <c r="G482" s="192"/>
      <c r="H482" s="192"/>
      <c r="I482" s="192"/>
      <c r="J482" s="192"/>
      <c r="K482" s="192"/>
      <c r="L482" s="192"/>
      <c r="M482" s="192"/>
      <c r="N482" s="192"/>
      <c r="O482" s="192"/>
      <c r="P482" s="192"/>
      <c r="Q482" s="192"/>
      <c r="R482" s="192"/>
      <c r="S482" s="192"/>
      <c r="T482" s="192"/>
      <c r="U482" s="192"/>
      <c r="V482" s="192"/>
      <c r="W482" s="192"/>
      <c r="X482" s="192"/>
      <c r="Y482" s="192"/>
      <c r="Z482" s="192"/>
      <c r="AA482" s="193"/>
      <c r="AB482" s="193"/>
      <c r="AC482" s="193"/>
      <c r="AD482" s="193"/>
      <c r="AE482" s="193"/>
      <c r="AF482" s="193"/>
      <c r="AG482" s="193"/>
      <c r="AH482" s="193"/>
      <c r="AI482" s="193"/>
      <c r="AJ482" s="193"/>
      <c r="AK482" s="194"/>
      <c r="AL482" s="194"/>
      <c r="AM482" s="194"/>
      <c r="AN482" s="194"/>
      <c r="AO482" s="193"/>
    </row>
    <row r="483" spans="1:41">
      <c r="A483" s="192"/>
      <c r="B483" s="192"/>
      <c r="C483" s="192"/>
      <c r="D483" s="192"/>
      <c r="E483" s="192"/>
      <c r="F483" s="192"/>
      <c r="G483" s="192"/>
      <c r="H483" s="192"/>
      <c r="I483" s="192"/>
      <c r="J483" s="192"/>
      <c r="K483" s="192"/>
      <c r="L483" s="192"/>
      <c r="M483" s="192"/>
      <c r="N483" s="192"/>
      <c r="O483" s="192"/>
      <c r="P483" s="192"/>
      <c r="Q483" s="192"/>
      <c r="R483" s="192"/>
      <c r="S483" s="192"/>
      <c r="T483" s="192"/>
      <c r="U483" s="192"/>
      <c r="V483" s="192"/>
      <c r="W483" s="192"/>
      <c r="X483" s="192"/>
      <c r="Y483" s="192"/>
      <c r="Z483" s="192"/>
      <c r="AA483" s="193"/>
      <c r="AB483" s="193"/>
      <c r="AC483" s="193"/>
      <c r="AD483" s="193"/>
      <c r="AE483" s="193"/>
      <c r="AF483" s="193"/>
      <c r="AG483" s="193"/>
      <c r="AH483" s="193"/>
      <c r="AI483" s="193"/>
      <c r="AJ483" s="193"/>
      <c r="AK483" s="194"/>
      <c r="AL483" s="194"/>
      <c r="AM483" s="194"/>
      <c r="AN483" s="194"/>
      <c r="AO483" s="193"/>
    </row>
    <row r="484" spans="1:41">
      <c r="A484" s="192"/>
      <c r="B484" s="192"/>
      <c r="C484" s="192"/>
      <c r="D484" s="192"/>
      <c r="E484" s="192"/>
      <c r="F484" s="19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92"/>
      <c r="Z484" s="192"/>
      <c r="AA484" s="193"/>
      <c r="AB484" s="193"/>
      <c r="AC484" s="193"/>
      <c r="AD484" s="193"/>
      <c r="AE484" s="193"/>
      <c r="AF484" s="193"/>
      <c r="AG484" s="193"/>
      <c r="AH484" s="193"/>
      <c r="AI484" s="193"/>
      <c r="AJ484" s="193"/>
      <c r="AK484" s="194"/>
      <c r="AL484" s="194"/>
      <c r="AM484" s="194"/>
      <c r="AN484" s="194"/>
      <c r="AO484" s="193"/>
    </row>
    <row r="485" spans="1:41">
      <c r="A485" s="192"/>
      <c r="B485" s="192"/>
      <c r="C485" s="192"/>
      <c r="D485" s="192"/>
      <c r="E485" s="192"/>
      <c r="F485" s="192"/>
      <c r="G485" s="192"/>
      <c r="H485" s="192"/>
      <c r="I485" s="192"/>
      <c r="J485" s="192"/>
      <c r="K485" s="192"/>
      <c r="L485" s="192"/>
      <c r="M485" s="192"/>
      <c r="N485" s="192"/>
      <c r="O485" s="192"/>
      <c r="P485" s="192"/>
      <c r="Q485" s="192"/>
      <c r="R485" s="192"/>
      <c r="S485" s="192"/>
      <c r="T485" s="192"/>
      <c r="U485" s="192"/>
      <c r="V485" s="192"/>
      <c r="W485" s="192"/>
      <c r="X485" s="192"/>
      <c r="Y485" s="192"/>
      <c r="Z485" s="192"/>
      <c r="AA485" s="193"/>
      <c r="AB485" s="193"/>
      <c r="AC485" s="193"/>
      <c r="AD485" s="193"/>
      <c r="AE485" s="193"/>
      <c r="AF485" s="193"/>
      <c r="AG485" s="193"/>
      <c r="AH485" s="193"/>
      <c r="AI485" s="193"/>
      <c r="AJ485" s="193"/>
      <c r="AK485" s="194"/>
      <c r="AL485" s="194"/>
      <c r="AM485" s="194"/>
      <c r="AN485" s="194"/>
      <c r="AO485" s="193"/>
    </row>
    <row r="486" spans="1:41">
      <c r="A486" s="192"/>
      <c r="B486" s="192"/>
      <c r="C486" s="192"/>
      <c r="D486" s="192"/>
      <c r="E486" s="192"/>
      <c r="F486" s="192"/>
      <c r="G486" s="192"/>
      <c r="H486" s="192"/>
      <c r="I486" s="192"/>
      <c r="J486" s="192"/>
      <c r="K486" s="192"/>
      <c r="L486" s="192"/>
      <c r="M486" s="192"/>
      <c r="N486" s="192"/>
      <c r="O486" s="192"/>
      <c r="P486" s="192"/>
      <c r="Q486" s="192"/>
      <c r="R486" s="192"/>
      <c r="S486" s="192"/>
      <c r="T486" s="192"/>
      <c r="U486" s="192"/>
      <c r="V486" s="192"/>
      <c r="W486" s="192"/>
      <c r="X486" s="192"/>
      <c r="Y486" s="192"/>
      <c r="Z486" s="192"/>
      <c r="AA486" s="193"/>
      <c r="AB486" s="193"/>
      <c r="AC486" s="193"/>
      <c r="AD486" s="193"/>
      <c r="AE486" s="193"/>
      <c r="AF486" s="193"/>
      <c r="AG486" s="193"/>
      <c r="AH486" s="193"/>
      <c r="AI486" s="193"/>
      <c r="AJ486" s="193"/>
      <c r="AK486" s="194"/>
      <c r="AL486" s="194"/>
      <c r="AM486" s="194"/>
      <c r="AN486" s="194"/>
      <c r="AO486" s="193"/>
    </row>
    <row r="487" spans="1:41">
      <c r="A487" s="192"/>
      <c r="B487" s="192"/>
      <c r="C487" s="192"/>
      <c r="D487" s="192"/>
      <c r="E487" s="192"/>
      <c r="F487" s="192"/>
      <c r="G487" s="192"/>
      <c r="H487" s="192"/>
      <c r="I487" s="192"/>
      <c r="J487" s="192"/>
      <c r="K487" s="192"/>
      <c r="L487" s="192"/>
      <c r="M487" s="192"/>
      <c r="N487" s="192"/>
      <c r="O487" s="192"/>
      <c r="P487" s="192"/>
      <c r="Q487" s="192"/>
      <c r="R487" s="192"/>
      <c r="S487" s="192"/>
      <c r="T487" s="192"/>
      <c r="U487" s="192"/>
      <c r="V487" s="192"/>
      <c r="W487" s="192"/>
      <c r="X487" s="192"/>
      <c r="Y487" s="192"/>
      <c r="Z487" s="192"/>
      <c r="AA487" s="193"/>
      <c r="AB487" s="193"/>
      <c r="AC487" s="193"/>
      <c r="AD487" s="193"/>
      <c r="AE487" s="193"/>
      <c r="AF487" s="193"/>
      <c r="AG487" s="193"/>
      <c r="AH487" s="193"/>
      <c r="AI487" s="193"/>
      <c r="AJ487" s="193"/>
      <c r="AK487" s="194"/>
      <c r="AL487" s="194"/>
      <c r="AM487" s="194"/>
      <c r="AN487" s="194"/>
      <c r="AO487" s="193"/>
    </row>
    <row r="488" spans="1:41">
      <c r="A488" s="192"/>
      <c r="B488" s="192"/>
      <c r="C488" s="192"/>
      <c r="D488" s="192"/>
      <c r="E488" s="192"/>
      <c r="F488" s="192"/>
      <c r="G488" s="192"/>
      <c r="H488" s="192"/>
      <c r="I488" s="192"/>
      <c r="J488" s="192"/>
      <c r="K488" s="192"/>
      <c r="L488" s="192"/>
      <c r="M488" s="192"/>
      <c r="N488" s="192"/>
      <c r="O488" s="192"/>
      <c r="P488" s="192"/>
      <c r="Q488" s="192"/>
      <c r="R488" s="192"/>
      <c r="S488" s="192"/>
      <c r="T488" s="192"/>
      <c r="U488" s="192"/>
      <c r="V488" s="192"/>
      <c r="W488" s="192"/>
      <c r="X488" s="192"/>
      <c r="Y488" s="192"/>
      <c r="Z488" s="192"/>
      <c r="AA488" s="193"/>
      <c r="AB488" s="193"/>
      <c r="AC488" s="193"/>
      <c r="AD488" s="193"/>
      <c r="AE488" s="193"/>
      <c r="AF488" s="193"/>
      <c r="AG488" s="193"/>
      <c r="AH488" s="193"/>
      <c r="AI488" s="193"/>
      <c r="AJ488" s="193"/>
      <c r="AK488" s="194"/>
      <c r="AL488" s="194"/>
      <c r="AM488" s="194"/>
      <c r="AN488" s="194"/>
      <c r="AO488" s="193"/>
    </row>
    <row r="489" spans="1:41">
      <c r="A489" s="192"/>
      <c r="B489" s="192"/>
      <c r="C489" s="192"/>
      <c r="D489" s="192"/>
      <c r="E489" s="192"/>
      <c r="F489" s="192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92"/>
      <c r="Z489" s="192"/>
      <c r="AA489" s="193"/>
      <c r="AB489" s="193"/>
      <c r="AC489" s="193"/>
      <c r="AD489" s="193"/>
      <c r="AE489" s="193"/>
      <c r="AF489" s="193"/>
      <c r="AG489" s="193"/>
      <c r="AH489" s="193"/>
      <c r="AI489" s="193"/>
      <c r="AJ489" s="193"/>
      <c r="AK489" s="194"/>
      <c r="AL489" s="194"/>
      <c r="AM489" s="194"/>
      <c r="AN489" s="194"/>
      <c r="AO489" s="193"/>
    </row>
    <row r="490" spans="1:41">
      <c r="A490" s="192"/>
      <c r="B490" s="192"/>
      <c r="C490" s="192"/>
      <c r="D490" s="192"/>
      <c r="E490" s="192"/>
      <c r="F490" s="192"/>
      <c r="G490" s="192"/>
      <c r="H490" s="192"/>
      <c r="I490" s="192"/>
      <c r="J490" s="192"/>
      <c r="K490" s="192"/>
      <c r="L490" s="192"/>
      <c r="M490" s="192"/>
      <c r="N490" s="192"/>
      <c r="O490" s="192"/>
      <c r="P490" s="192"/>
      <c r="Q490" s="192"/>
      <c r="R490" s="192"/>
      <c r="S490" s="192"/>
      <c r="T490" s="192"/>
      <c r="U490" s="192"/>
      <c r="V490" s="192"/>
      <c r="W490" s="192"/>
      <c r="X490" s="192"/>
      <c r="Y490" s="192"/>
      <c r="Z490" s="192"/>
      <c r="AA490" s="193"/>
      <c r="AB490" s="193"/>
      <c r="AC490" s="193"/>
      <c r="AD490" s="193"/>
      <c r="AE490" s="193"/>
      <c r="AF490" s="193"/>
      <c r="AG490" s="193"/>
      <c r="AH490" s="193"/>
      <c r="AI490" s="193"/>
      <c r="AJ490" s="193"/>
      <c r="AK490" s="194"/>
      <c r="AL490" s="194"/>
      <c r="AM490" s="194"/>
      <c r="AN490" s="194"/>
      <c r="AO490" s="193"/>
    </row>
    <row r="491" spans="1:41">
      <c r="A491" s="192"/>
      <c r="B491" s="192"/>
      <c r="C491" s="192"/>
      <c r="D491" s="192"/>
      <c r="E491" s="192"/>
      <c r="F491" s="192"/>
      <c r="G491" s="192"/>
      <c r="H491" s="192"/>
      <c r="I491" s="192"/>
      <c r="J491" s="192"/>
      <c r="K491" s="192"/>
      <c r="L491" s="192"/>
      <c r="M491" s="192"/>
      <c r="N491" s="192"/>
      <c r="O491" s="192"/>
      <c r="P491" s="192"/>
      <c r="Q491" s="192"/>
      <c r="R491" s="192"/>
      <c r="S491" s="192"/>
      <c r="T491" s="192"/>
      <c r="U491" s="192"/>
      <c r="V491" s="192"/>
      <c r="W491" s="192"/>
      <c r="X491" s="192"/>
      <c r="Y491" s="192"/>
      <c r="Z491" s="192"/>
      <c r="AA491" s="193"/>
      <c r="AB491" s="193"/>
      <c r="AC491" s="193"/>
      <c r="AD491" s="193"/>
      <c r="AE491" s="193"/>
      <c r="AF491" s="193"/>
      <c r="AG491" s="193"/>
      <c r="AH491" s="193"/>
      <c r="AI491" s="193"/>
      <c r="AJ491" s="193"/>
      <c r="AK491" s="194"/>
      <c r="AL491" s="194"/>
      <c r="AM491" s="194"/>
      <c r="AN491" s="194"/>
      <c r="AO491" s="193"/>
    </row>
    <row r="492" spans="1:41">
      <c r="A492" s="192"/>
      <c r="B492" s="192"/>
      <c r="C492" s="192"/>
      <c r="D492" s="192"/>
      <c r="E492" s="192"/>
      <c r="F492" s="192"/>
      <c r="G492" s="192"/>
      <c r="H492" s="192"/>
      <c r="I492" s="192"/>
      <c r="J492" s="192"/>
      <c r="K492" s="192"/>
      <c r="L492" s="192"/>
      <c r="M492" s="192"/>
      <c r="N492" s="192"/>
      <c r="O492" s="192"/>
      <c r="P492" s="192"/>
      <c r="Q492" s="192"/>
      <c r="R492" s="192"/>
      <c r="S492" s="192"/>
      <c r="T492" s="192"/>
      <c r="U492" s="192"/>
      <c r="V492" s="192"/>
      <c r="W492" s="192"/>
      <c r="X492" s="192"/>
      <c r="Y492" s="192"/>
      <c r="Z492" s="192"/>
      <c r="AA492" s="193"/>
      <c r="AB492" s="193"/>
      <c r="AC492" s="193"/>
      <c r="AD492" s="193"/>
      <c r="AE492" s="193"/>
      <c r="AF492" s="193"/>
      <c r="AG492" s="193"/>
      <c r="AH492" s="193"/>
      <c r="AI492" s="193"/>
      <c r="AJ492" s="193"/>
      <c r="AK492" s="194"/>
      <c r="AL492" s="194"/>
      <c r="AM492" s="194"/>
      <c r="AN492" s="194"/>
      <c r="AO492" s="193"/>
    </row>
    <row r="493" spans="1:40">
      <c r="A493" s="192"/>
      <c r="B493" s="192"/>
      <c r="C493" s="192"/>
      <c r="D493" s="192"/>
      <c r="E493" s="192"/>
      <c r="F493" s="192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192"/>
      <c r="T493" s="192"/>
      <c r="U493" s="192"/>
      <c r="V493" s="192"/>
      <c r="W493" s="192"/>
      <c r="X493" s="192"/>
      <c r="Y493" s="192"/>
      <c r="Z493" s="192"/>
      <c r="AA493" s="193"/>
      <c r="AB493" s="193"/>
      <c r="AC493" s="193"/>
      <c r="AD493" s="193"/>
      <c r="AE493" s="193"/>
      <c r="AF493" s="193"/>
      <c r="AG493" s="193"/>
      <c r="AH493" s="193"/>
      <c r="AI493" s="193"/>
      <c r="AJ493" s="193"/>
      <c r="AK493" s="194"/>
      <c r="AL493" s="194"/>
      <c r="AM493" s="194"/>
      <c r="AN493" s="194"/>
    </row>
    <row r="494" spans="1:40">
      <c r="A494" s="192"/>
      <c r="B494" s="192"/>
      <c r="C494" s="192"/>
      <c r="D494" s="192"/>
      <c r="E494" s="192"/>
      <c r="F494" s="192"/>
      <c r="G494" s="192"/>
      <c r="H494" s="192"/>
      <c r="I494" s="192"/>
      <c r="J494" s="192"/>
      <c r="K494" s="192"/>
      <c r="L494" s="192"/>
      <c r="M494" s="192"/>
      <c r="N494" s="192"/>
      <c r="O494" s="192"/>
      <c r="P494" s="192"/>
      <c r="Q494" s="192"/>
      <c r="R494" s="192"/>
      <c r="S494" s="192"/>
      <c r="T494" s="192"/>
      <c r="U494" s="192"/>
      <c r="V494" s="192"/>
      <c r="W494" s="192"/>
      <c r="X494" s="192"/>
      <c r="Y494" s="192"/>
      <c r="Z494" s="192"/>
      <c r="AA494" s="193"/>
      <c r="AB494" s="193"/>
      <c r="AC494" s="193"/>
      <c r="AD494" s="193"/>
      <c r="AE494" s="193"/>
      <c r="AF494" s="193"/>
      <c r="AG494" s="193"/>
      <c r="AH494" s="193"/>
      <c r="AI494" s="193"/>
      <c r="AJ494" s="193"/>
      <c r="AK494" s="194"/>
      <c r="AL494" s="194"/>
      <c r="AM494" s="194"/>
      <c r="AN494" s="194"/>
    </row>
    <row r="495" spans="1:40">
      <c r="A495" s="192"/>
      <c r="B495" s="192"/>
      <c r="C495" s="192"/>
      <c r="D495" s="192"/>
      <c r="E495" s="192"/>
      <c r="F495" s="192"/>
      <c r="G495" s="192"/>
      <c r="H495" s="192"/>
      <c r="I495" s="192"/>
      <c r="J495" s="192"/>
      <c r="K495" s="192"/>
      <c r="L495" s="192"/>
      <c r="M495" s="192"/>
      <c r="N495" s="192"/>
      <c r="O495" s="192"/>
      <c r="P495" s="192"/>
      <c r="Q495" s="192"/>
      <c r="R495" s="192"/>
      <c r="S495" s="192"/>
      <c r="T495" s="192"/>
      <c r="U495" s="192"/>
      <c r="V495" s="192"/>
      <c r="W495" s="192"/>
      <c r="X495" s="192"/>
      <c r="Y495" s="192"/>
      <c r="Z495" s="192"/>
      <c r="AA495" s="193"/>
      <c r="AB495" s="193"/>
      <c r="AC495" s="193"/>
      <c r="AD495" s="193"/>
      <c r="AE495" s="193"/>
      <c r="AF495" s="193"/>
      <c r="AG495" s="193"/>
      <c r="AH495" s="193"/>
      <c r="AI495" s="193"/>
      <c r="AJ495" s="193"/>
      <c r="AK495" s="194"/>
      <c r="AL495" s="194"/>
      <c r="AM495" s="194"/>
      <c r="AN495" s="194"/>
    </row>
    <row r="496" spans="1:40">
      <c r="A496" s="192"/>
      <c r="B496" s="192"/>
      <c r="C496" s="192"/>
      <c r="D496" s="192"/>
      <c r="E496" s="192"/>
      <c r="F496" s="192"/>
      <c r="G496" s="192"/>
      <c r="H496" s="192"/>
      <c r="I496" s="192"/>
      <c r="J496" s="192"/>
      <c r="K496" s="192"/>
      <c r="L496" s="192"/>
      <c r="M496" s="192"/>
      <c r="N496" s="192"/>
      <c r="O496" s="192"/>
      <c r="P496" s="192"/>
      <c r="Q496" s="192"/>
      <c r="R496" s="192"/>
      <c r="S496" s="192"/>
      <c r="T496" s="192"/>
      <c r="U496" s="192"/>
      <c r="V496" s="192"/>
      <c r="W496" s="192"/>
      <c r="X496" s="192"/>
      <c r="Y496" s="192"/>
      <c r="Z496" s="192"/>
      <c r="AA496" s="193"/>
      <c r="AB496" s="193"/>
      <c r="AC496" s="193"/>
      <c r="AD496" s="193"/>
      <c r="AE496" s="193"/>
      <c r="AF496" s="193"/>
      <c r="AG496" s="193"/>
      <c r="AH496" s="193"/>
      <c r="AI496" s="193"/>
      <c r="AJ496" s="193"/>
      <c r="AK496" s="194"/>
      <c r="AL496" s="194"/>
      <c r="AM496" s="194"/>
      <c r="AN496" s="194"/>
    </row>
    <row r="497" spans="1:40">
      <c r="A497" s="192"/>
      <c r="B497" s="192"/>
      <c r="C497" s="192"/>
      <c r="D497" s="192"/>
      <c r="E497" s="192"/>
      <c r="F497" s="192"/>
      <c r="G497" s="192"/>
      <c r="H497" s="192"/>
      <c r="I497" s="192"/>
      <c r="J497" s="192"/>
      <c r="K497" s="192"/>
      <c r="L497" s="192"/>
      <c r="M497" s="192"/>
      <c r="N497" s="192"/>
      <c r="O497" s="192"/>
      <c r="P497" s="192"/>
      <c r="Q497" s="192"/>
      <c r="R497" s="192"/>
      <c r="S497" s="192"/>
      <c r="T497" s="192"/>
      <c r="U497" s="192"/>
      <c r="V497" s="192"/>
      <c r="W497" s="192"/>
      <c r="X497" s="192"/>
      <c r="Y497" s="192"/>
      <c r="Z497" s="192"/>
      <c r="AA497" s="193"/>
      <c r="AB497" s="193"/>
      <c r="AC497" s="193"/>
      <c r="AD497" s="193"/>
      <c r="AE497" s="193"/>
      <c r="AF497" s="193"/>
      <c r="AG497" s="193"/>
      <c r="AH497" s="193"/>
      <c r="AI497" s="193"/>
      <c r="AJ497" s="193"/>
      <c r="AK497" s="194"/>
      <c r="AL497" s="194"/>
      <c r="AM497" s="194"/>
      <c r="AN497" s="194"/>
    </row>
    <row r="498" spans="1:40">
      <c r="A498" s="192"/>
      <c r="B498" s="192"/>
      <c r="C498" s="192"/>
      <c r="D498" s="192"/>
      <c r="E498" s="192"/>
      <c r="F498" s="192"/>
      <c r="G498" s="192"/>
      <c r="H498" s="192"/>
      <c r="I498" s="192"/>
      <c r="J498" s="192"/>
      <c r="K498" s="192"/>
      <c r="L498" s="192"/>
      <c r="M498" s="192"/>
      <c r="N498" s="192"/>
      <c r="O498" s="192"/>
      <c r="P498" s="192"/>
      <c r="Q498" s="192"/>
      <c r="R498" s="192"/>
      <c r="S498" s="192"/>
      <c r="T498" s="192"/>
      <c r="U498" s="192"/>
      <c r="V498" s="192"/>
      <c r="W498" s="192"/>
      <c r="X498" s="192"/>
      <c r="Y498" s="192"/>
      <c r="Z498" s="192"/>
      <c r="AA498" s="193"/>
      <c r="AB498" s="193"/>
      <c r="AC498" s="193"/>
      <c r="AD498" s="193"/>
      <c r="AE498" s="193"/>
      <c r="AF498" s="193"/>
      <c r="AG498" s="193"/>
      <c r="AH498" s="193"/>
      <c r="AI498" s="193"/>
      <c r="AJ498" s="193"/>
      <c r="AK498" s="194"/>
      <c r="AL498" s="194"/>
      <c r="AM498" s="194"/>
      <c r="AN498" s="194"/>
    </row>
    <row r="499" spans="1:26">
      <c r="A499" s="192"/>
      <c r="B499" s="192"/>
      <c r="C499" s="192"/>
      <c r="D499" s="192"/>
      <c r="E499" s="192"/>
      <c r="F499" s="192"/>
      <c r="G499" s="192"/>
      <c r="H499" s="192"/>
      <c r="I499" s="192"/>
      <c r="J499" s="192"/>
      <c r="K499" s="192"/>
      <c r="L499" s="192"/>
      <c r="M499" s="192"/>
      <c r="N499" s="192"/>
      <c r="O499" s="192"/>
      <c r="P499" s="192"/>
      <c r="Q499" s="192"/>
      <c r="R499" s="192"/>
      <c r="S499" s="192"/>
      <c r="T499" s="192"/>
      <c r="U499" s="192"/>
      <c r="V499" s="192"/>
      <c r="W499" s="192"/>
      <c r="X499" s="192"/>
      <c r="Y499" s="192"/>
      <c r="Z499" s="192"/>
    </row>
    <row r="500" spans="20:26">
      <c r="T500" s="192"/>
      <c r="U500" s="192"/>
      <c r="V500" s="192"/>
      <c r="W500" s="192"/>
      <c r="X500" s="192"/>
      <c r="Y500" s="192"/>
      <c r="Z500" s="192"/>
    </row>
    <row r="501" spans="20:26">
      <c r="T501" s="192"/>
      <c r="U501" s="192"/>
      <c r="V501" s="192"/>
      <c r="W501" s="192"/>
      <c r="X501" s="192"/>
      <c r="Y501" s="192"/>
      <c r="Z501" s="192"/>
    </row>
    <row r="502" spans="20:26">
      <c r="T502" s="192"/>
      <c r="U502" s="192"/>
      <c r="V502" s="192"/>
      <c r="W502" s="192"/>
      <c r="X502" s="192"/>
      <c r="Y502" s="192"/>
      <c r="Z502" s="192"/>
    </row>
  </sheetData>
  <sheetProtection selectLockedCells="1"/>
  <customSheetViews>
    <customSheetView guid="{754FC85E-76B5-484D-837B-A1CDE300AC8C}" scale="75" showRuler="0">
      <selection activeCell="U17" sqref="U17"/>
      <pageMargins left="0.748031496062992" right="0.748031496062992" top="0.984251968503937" bottom="0.984251968503937" header="0.511811023622047" footer="0.511811023622047"/>
      <pageSetup paperSize="9" orientation="landscape" horizontalDpi="300" verticalDpi="300"/>
      <headerFooter/>
    </customSheetView>
  </customSheetViews>
  <mergeCells count="9">
    <mergeCell ref="B4:E4"/>
    <mergeCell ref="F4:H4"/>
    <mergeCell ref="I4:K4"/>
    <mergeCell ref="L4:M4"/>
    <mergeCell ref="N4:O4"/>
    <mergeCell ref="P4:Q4"/>
    <mergeCell ref="R4:T4"/>
    <mergeCell ref="V4:Y4"/>
    <mergeCell ref="A1:Y2"/>
  </mergeCells>
  <printOptions horizontalCentered="1"/>
  <pageMargins left="0.27" right="0.38" top="0.984251968503937" bottom="0.984251968503937" header="0.511811023622047" footer="0.511811023622047"/>
  <pageSetup paperSize="9" orientation="landscape" horizontalDpi="300" verticalDpi="3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270"/>
  <sheetViews>
    <sheetView showGridLines="0" zoomScale="75" zoomScaleNormal="75" zoomScaleSheetLayoutView="60" workbookViewId="0">
      <selection activeCell="P8" sqref="P8"/>
    </sheetView>
  </sheetViews>
  <sheetFormatPr defaultColWidth="9.625" defaultRowHeight="17.6"/>
  <cols>
    <col min="1" max="1" width="10.625" style="29" customWidth="1"/>
    <col min="2" max="2" width="12" style="29"/>
    <col min="3" max="3" width="8.625" style="29" customWidth="1"/>
    <col min="4" max="13" width="9.625" style="29" customWidth="1"/>
    <col min="14" max="14" width="2.875" style="29" customWidth="1"/>
    <col min="15" max="19" width="9.625" style="29"/>
    <col min="20" max="20" width="10" style="29" customWidth="1"/>
    <col min="21" max="40" width="9.625" style="29"/>
    <col min="41" max="41" width="3.625" style="29" customWidth="1"/>
    <col min="42" max="42" width="1.625" style="29" customWidth="1"/>
    <col min="43" max="43" width="3.625" style="29" customWidth="1"/>
    <col min="44" max="44" width="9.625" style="29"/>
    <col min="45" max="58" width="9.625" style="29" customWidth="1"/>
    <col min="59" max="69" width="9.625" style="29"/>
    <col min="70" max="118" width="9.625" style="29" customWidth="1"/>
    <col min="119" max="16384" width="9.625" style="29"/>
  </cols>
  <sheetData>
    <row r="1" spans="1:4">
      <c r="A1" s="29" t="s">
        <v>3</v>
      </c>
      <c r="D1" s="430" t="s">
        <v>127</v>
      </c>
    </row>
    <row r="2" spans="3:52">
      <c r="C2" s="31"/>
      <c r="D2" s="430" t="s">
        <v>128</v>
      </c>
      <c r="K2" s="32" t="s">
        <v>129</v>
      </c>
      <c r="AD2" s="32"/>
      <c r="AI2" s="32"/>
      <c r="AJ2" s="32"/>
      <c r="AV2" s="32"/>
      <c r="AW2" s="32"/>
      <c r="AZ2" s="32"/>
    </row>
    <row r="3" spans="3:52">
      <c r="C3" s="32"/>
      <c r="AZ3" s="32"/>
    </row>
    <row r="4" spans="3:56">
      <c r="C4" s="32"/>
      <c r="J4" s="55"/>
      <c r="AD4" s="32"/>
      <c r="AE4" s="31"/>
      <c r="AI4" s="32"/>
      <c r="AJ4" s="32"/>
      <c r="AK4" s="31"/>
      <c r="AV4" s="32"/>
      <c r="AW4" s="32"/>
      <c r="AX4" s="32"/>
      <c r="AY4" s="32"/>
      <c r="AZ4" s="32"/>
      <c r="BA4" s="32"/>
      <c r="BB4" s="32"/>
      <c r="BC4" s="32"/>
      <c r="BD4" s="32"/>
    </row>
    <row r="5" ht="28.8" spans="4:61">
      <c r="D5" s="431" t="s">
        <v>130</v>
      </c>
      <c r="E5" s="56"/>
      <c r="F5" s="56"/>
      <c r="G5" s="56"/>
      <c r="H5" s="56"/>
      <c r="I5" s="56"/>
      <c r="J5" s="56"/>
      <c r="K5" s="56"/>
      <c r="L5" s="56"/>
      <c r="M5" s="56"/>
      <c r="AD5" s="32"/>
      <c r="AE5" s="31"/>
      <c r="AJ5" s="32"/>
      <c r="AK5" s="31"/>
      <c r="AS5" s="97"/>
      <c r="AW5" s="32"/>
      <c r="AX5" s="32"/>
      <c r="AY5" s="32"/>
      <c r="AZ5" s="32"/>
      <c r="BA5" s="32"/>
      <c r="BB5" s="32"/>
      <c r="BC5" s="32"/>
      <c r="BD5" s="32"/>
      <c r="BI5" s="55"/>
    </row>
    <row r="6" ht="19.5" customHeight="1" spans="41:62">
      <c r="AO6" s="55"/>
      <c r="AP6" s="32"/>
      <c r="AQ6" s="55"/>
      <c r="AR6" s="55"/>
      <c r="AS6" s="97"/>
      <c r="BH6" s="55"/>
      <c r="BI6" s="55"/>
      <c r="BJ6" s="55"/>
    </row>
    <row r="7" ht="19.5" customHeight="1" spans="30:62">
      <c r="AD7" s="32"/>
      <c r="AG7" s="97"/>
      <c r="AI7" s="32"/>
      <c r="AJ7" s="32"/>
      <c r="AO7" s="55"/>
      <c r="AP7" s="32"/>
      <c r="AQ7" s="55"/>
      <c r="AR7" s="55"/>
      <c r="AS7" s="97"/>
      <c r="BH7" s="55"/>
      <c r="BI7" s="55"/>
      <c r="BJ7" s="55"/>
    </row>
    <row r="8" ht="24.75" customHeight="1" spans="1:62">
      <c r="A8" s="34" t="s">
        <v>131</v>
      </c>
      <c r="B8" s="30">
        <v>96179248</v>
      </c>
      <c r="D8" s="432" t="s">
        <v>132</v>
      </c>
      <c r="E8" s="57">
        <f>IF(ISBLANK(B8)," ",B8)</f>
        <v>96179248</v>
      </c>
      <c r="F8" s="58"/>
      <c r="G8" s="58"/>
      <c r="H8" s="433" t="s">
        <v>133</v>
      </c>
      <c r="I8" s="57">
        <f>IF(ISBLANK($B13)," ",$B13)</f>
        <v>0.88</v>
      </c>
      <c r="J8" s="83" t="str">
        <f>IF(B12=3,"MAX"," ")</f>
        <v> </v>
      </c>
      <c r="K8" s="433" t="s">
        <v>134</v>
      </c>
      <c r="L8" s="57" t="str">
        <f>IF(ISBLANK($B15)," ",$B15)</f>
        <v> </v>
      </c>
      <c r="M8" s="96"/>
      <c r="N8" s="97"/>
      <c r="AD8" s="32"/>
      <c r="AG8" s="97"/>
      <c r="AJ8" s="32"/>
      <c r="AO8" s="55"/>
      <c r="AP8" s="32"/>
      <c r="AQ8" s="55"/>
      <c r="AR8" s="55"/>
      <c r="AS8" s="97"/>
      <c r="BH8" s="55"/>
      <c r="BI8" s="55"/>
      <c r="BJ8" s="55"/>
    </row>
    <row r="9" ht="24.75" customHeight="1" spans="1:62">
      <c r="A9" s="34" t="s">
        <v>135</v>
      </c>
      <c r="B9" s="30" t="s">
        <v>136</v>
      </c>
      <c r="D9" s="434" t="s">
        <v>137</v>
      </c>
      <c r="E9" s="60" t="str">
        <f>IF(ISBLANK(B9)," ",B9)</f>
        <v>G/K-GEARSHIFT</v>
      </c>
      <c r="F9" s="61"/>
      <c r="G9" s="62"/>
      <c r="H9" s="435" t="s">
        <v>138</v>
      </c>
      <c r="I9" s="60">
        <f>IF(ISBLANK(B14)," ",B14)</f>
        <v>0.72</v>
      </c>
      <c r="J9" s="62" t="str">
        <f>IF(B12=4,"MIN"," ")</f>
        <v> </v>
      </c>
      <c r="K9" s="435" t="s">
        <v>139</v>
      </c>
      <c r="L9" s="84" t="str">
        <f>IF(ISBLANK($B16)," ",$B16)</f>
        <v> </v>
      </c>
      <c r="M9" s="98"/>
      <c r="N9" s="97"/>
      <c r="AD9" s="31"/>
      <c r="AG9" s="97"/>
      <c r="AJ9" s="31"/>
      <c r="AK9" s="97"/>
      <c r="AL9" s="97"/>
      <c r="AO9" s="55"/>
      <c r="AP9" s="32"/>
      <c r="AQ9" s="55"/>
      <c r="AR9" s="55"/>
      <c r="AS9" s="97"/>
      <c r="BH9" s="55"/>
      <c r="BI9" s="55"/>
      <c r="BJ9" s="55"/>
    </row>
    <row r="10" ht="24.75" customHeight="1" spans="1:62">
      <c r="A10" s="34" t="s">
        <v>140</v>
      </c>
      <c r="B10" s="30"/>
      <c r="D10" s="434" t="s">
        <v>141</v>
      </c>
      <c r="E10" s="60" t="str">
        <f>IF(ISBLANK(B10)," ",B10)</f>
        <v> </v>
      </c>
      <c r="F10" s="61"/>
      <c r="G10" s="62"/>
      <c r="H10" s="435" t="s">
        <v>142</v>
      </c>
      <c r="I10" s="85">
        <f>ABS(+I8-I9)</f>
        <v>0.16</v>
      </c>
      <c r="J10" s="86"/>
      <c r="K10" s="435" t="s">
        <v>143</v>
      </c>
      <c r="L10" s="60">
        <f>IF(ISBLANK($B17)," ",$B17)</f>
        <v>0.001</v>
      </c>
      <c r="M10" s="98"/>
      <c r="AD10" s="32"/>
      <c r="AG10" s="97"/>
      <c r="AH10" s="97"/>
      <c r="AJ10" s="31"/>
      <c r="AK10" s="97"/>
      <c r="AL10" s="97"/>
      <c r="AM10" s="97"/>
      <c r="AO10" s="55"/>
      <c r="AP10" s="32"/>
      <c r="AQ10" s="55"/>
      <c r="AR10" s="55"/>
      <c r="AS10" s="97"/>
      <c r="AW10" s="32"/>
      <c r="BH10" s="55"/>
      <c r="BI10" s="55"/>
      <c r="BJ10" s="55"/>
    </row>
    <row r="11" ht="24.75" customHeight="1" spans="1:62">
      <c r="A11" s="34" t="s">
        <v>144</v>
      </c>
      <c r="B11" s="30"/>
      <c r="D11" s="434" t="s">
        <v>145</v>
      </c>
      <c r="E11" s="60" t="str">
        <f>IF(ISBLANK(B11)," ",B11)</f>
        <v> </v>
      </c>
      <c r="F11" s="61"/>
      <c r="G11" s="62"/>
      <c r="H11" s="435" t="s">
        <v>146</v>
      </c>
      <c r="I11" s="85">
        <f>(I8+I9)/2</f>
        <v>0.8</v>
      </c>
      <c r="J11" s="86"/>
      <c r="K11" s="436" t="s">
        <v>147</v>
      </c>
      <c r="L11" s="60" t="str">
        <f>IF(ISBLANK($B18)," ",$B18)</f>
        <v> </v>
      </c>
      <c r="M11" s="98"/>
      <c r="AD11" s="31"/>
      <c r="AG11" s="97"/>
      <c r="AH11" s="97"/>
      <c r="AJ11" s="32"/>
      <c r="AK11" s="97"/>
      <c r="AL11" s="97"/>
      <c r="AM11" s="97"/>
      <c r="AO11" s="55"/>
      <c r="AP11" s="32"/>
      <c r="AQ11" s="55"/>
      <c r="AR11" s="55"/>
      <c r="AS11" s="97"/>
      <c r="AW11" s="32"/>
      <c r="BH11" s="55"/>
      <c r="BI11" s="55"/>
      <c r="BJ11" s="55"/>
    </row>
    <row r="12" ht="15.75" customHeight="1" spans="1:62">
      <c r="A12" s="37" t="s">
        <v>148</v>
      </c>
      <c r="B12" s="29">
        <v>1</v>
      </c>
      <c r="D12" s="38">
        <f>IF(ISBLANK(B19)," ",$B$18+B19)</f>
        <v>0.81</v>
      </c>
      <c r="E12" s="64">
        <f>IF(ISBLANK(B20)," ",$B$18+B20)</f>
        <v>0.81</v>
      </c>
      <c r="F12" s="64">
        <f>IF(ISBLANK(B21)," ",$B$18+B21)</f>
        <v>0.82</v>
      </c>
      <c r="G12" s="64">
        <f>IF(ISBLANK(B22)," ",$B$18+B22)</f>
        <v>0.83</v>
      </c>
      <c r="H12" s="64">
        <f>IF(ISBLANK(B23)," ",$B$18+B23)</f>
        <v>0.82</v>
      </c>
      <c r="I12" s="64">
        <f>IF(ISBLANK(B24)," ",$B$18+B24)</f>
        <v>0.82</v>
      </c>
      <c r="J12" s="64">
        <f>IF(ISBLANK(B25)," ",$B$18+B25)</f>
        <v>0.74</v>
      </c>
      <c r="K12" s="64">
        <f>IF(ISBLANK(B26)," ",$B$18+B26)</f>
        <v>0.82</v>
      </c>
      <c r="L12" s="64">
        <f>IF(ISBLANK(B27)," ",$B$18+B27)</f>
        <v>0.82</v>
      </c>
      <c r="M12" s="99">
        <f>IF(ISBLANK(B28)," ",$B$18+B28)</f>
        <v>0.8</v>
      </c>
      <c r="AI12" s="32"/>
      <c r="AJ12" s="32"/>
      <c r="AK12" s="31"/>
      <c r="AL12" s="97"/>
      <c r="AM12" s="97"/>
      <c r="AO12" s="55"/>
      <c r="AP12" s="32"/>
      <c r="AQ12" s="55"/>
      <c r="AR12" s="55"/>
      <c r="AS12" s="97"/>
      <c r="AW12" s="32"/>
      <c r="BH12" s="55"/>
      <c r="BI12" s="55"/>
      <c r="BJ12" s="55"/>
    </row>
    <row r="13" ht="15.75" customHeight="1" spans="1:62">
      <c r="A13" s="34" t="s">
        <v>75</v>
      </c>
      <c r="B13" s="39">
        <v>0.88</v>
      </c>
      <c r="C13" s="40"/>
      <c r="D13" s="41">
        <f>IF(ISBLANK(B29)," ",$B$18+B29)</f>
        <v>0.83</v>
      </c>
      <c r="E13" s="65">
        <f>IF(ISBLANK(B30)," ",$B$18+B30)</f>
        <v>0.83</v>
      </c>
      <c r="F13" s="65">
        <f>IF(ISBLANK(B31)," ",$B$18+B31)</f>
        <v>0.81</v>
      </c>
      <c r="G13" s="65">
        <f>IF(ISBLANK(B32)," ",$B$18+B32)</f>
        <v>0.84</v>
      </c>
      <c r="H13" s="65">
        <f>IF(ISBLANK(B33)," ",$B$18+B33)</f>
        <v>0.84</v>
      </c>
      <c r="I13" s="65">
        <f>IF(ISBLANK(B34)," ",$B$18+B34)</f>
        <v>0.81</v>
      </c>
      <c r="J13" s="65">
        <f>IF(ISBLANK(B35)," ",$B$18+B35)</f>
        <v>0.83</v>
      </c>
      <c r="K13" s="65">
        <f>IF(ISBLANK(B36)," ",$B$18+B36)</f>
        <v>0.76</v>
      </c>
      <c r="L13" s="65">
        <f>IF(ISBLANK(B37)," ",$B$18+B37)</f>
        <v>0.85</v>
      </c>
      <c r="M13" s="100">
        <f>IF(ISBLANK(B38)," ",$B$18+B38)</f>
        <v>0.84</v>
      </c>
      <c r="AD13" s="32"/>
      <c r="AE13" s="31"/>
      <c r="AJ13" s="32"/>
      <c r="AK13" s="31"/>
      <c r="AL13" s="97"/>
      <c r="AM13" s="97"/>
      <c r="AO13" s="55"/>
      <c r="AP13" s="32"/>
      <c r="AQ13" s="55"/>
      <c r="AR13" s="55"/>
      <c r="AS13" s="97"/>
      <c r="BH13" s="55"/>
      <c r="BI13" s="55"/>
      <c r="BJ13" s="55"/>
    </row>
    <row r="14" ht="15.75" customHeight="1" spans="1:62">
      <c r="A14" s="34" t="s">
        <v>76</v>
      </c>
      <c r="B14" s="39">
        <v>0.72</v>
      </c>
      <c r="C14" s="40"/>
      <c r="D14" s="41">
        <f>IF(ISBLANK(B39)," ",$B$18+B39)</f>
        <v>0.82</v>
      </c>
      <c r="E14" s="65">
        <f>IF(ISBLANK(B40)," ",$B$18+B40)</f>
        <v>0.83</v>
      </c>
      <c r="F14" s="65">
        <f>IF(ISBLANK(B41)," ",$B$18+B41)</f>
        <v>0.84</v>
      </c>
      <c r="G14" s="65">
        <f>IF(ISBLANK(B42)," ",$B$18+B42)</f>
        <v>0.81</v>
      </c>
      <c r="H14" s="65">
        <f>IF(ISBLANK(B43)," ",$B$18+B43)</f>
        <v>0.78</v>
      </c>
      <c r="I14" s="65">
        <f>IF(ISBLANK(B44)," ",$B$18+B44)</f>
        <v>0.83</v>
      </c>
      <c r="J14" s="65">
        <f>IF(ISBLANK(B45)," ",$B$18+B45)</f>
        <v>0.84</v>
      </c>
      <c r="K14" s="65">
        <f>IF(ISBLANK(B46)," ",$B$18+B46)</f>
        <v>0.85</v>
      </c>
      <c r="L14" s="65">
        <f>IF(ISBLANK(B47)," ",$B$18+B47)</f>
        <v>0.8</v>
      </c>
      <c r="M14" s="100">
        <f>IF(ISBLANK(B48)," ",$B$18+B48)</f>
        <v>0.84</v>
      </c>
      <c r="AD14" s="32"/>
      <c r="AE14" s="31"/>
      <c r="AJ14" s="32"/>
      <c r="AK14" s="32"/>
      <c r="AL14" s="97"/>
      <c r="AM14" s="97"/>
      <c r="AO14" s="55"/>
      <c r="AP14" s="32"/>
      <c r="AQ14" s="55"/>
      <c r="AR14" s="55"/>
      <c r="AS14" s="97"/>
      <c r="BH14" s="55"/>
      <c r="BI14" s="55"/>
      <c r="BJ14" s="55"/>
    </row>
    <row r="15" ht="15.75" customHeight="1" spans="1:62">
      <c r="A15" s="34" t="s">
        <v>149</v>
      </c>
      <c r="B15" s="30"/>
      <c r="C15" s="40"/>
      <c r="D15" s="41">
        <f>IF(ISBLANK(B49)," ",$B$18+B49)</f>
        <v>0.82</v>
      </c>
      <c r="E15" s="65">
        <f>IF(ISBLANK(B50)," ",$B$18+B50)</f>
        <v>0.83</v>
      </c>
      <c r="F15" s="65">
        <f>IF(ISBLANK(B51)," ",$B$18+B51)</f>
        <v>0.81</v>
      </c>
      <c r="G15" s="65">
        <f>IF(ISBLANK(B52)," ",$B$18+B52)</f>
        <v>0.83</v>
      </c>
      <c r="H15" s="65">
        <f>IF(ISBLANK(B53)," ",$B$18+B53)</f>
        <v>0.78</v>
      </c>
      <c r="I15" s="65">
        <f>IF(ISBLANK(B54)," ",$B$18+B54)</f>
        <v>0.81</v>
      </c>
      <c r="J15" s="65">
        <f>IF(ISBLANK(B55)," ",$B$18+B55)</f>
        <v>0.82</v>
      </c>
      <c r="K15" s="65">
        <f>IF(ISBLANK(B56)," ",$B$18+B56)</f>
        <v>0.82</v>
      </c>
      <c r="L15" s="65">
        <f>IF(ISBLANK(B57)," ",$B$18+B57)</f>
        <v>0.82</v>
      </c>
      <c r="M15" s="100">
        <f>IF(ISBLANK(B58)," ",$B$18+B58)</f>
        <v>0.8</v>
      </c>
      <c r="AD15" s="32"/>
      <c r="AE15" s="32"/>
      <c r="AG15" s="97"/>
      <c r="AK15" s="97"/>
      <c r="AL15" s="97"/>
      <c r="AM15" s="97"/>
      <c r="AO15" s="55"/>
      <c r="AP15" s="32"/>
      <c r="AQ15" s="55"/>
      <c r="AR15" s="55"/>
      <c r="AS15" s="97"/>
      <c r="AW15" s="55"/>
      <c r="BH15" s="55"/>
      <c r="BI15" s="55"/>
      <c r="BJ15" s="55"/>
    </row>
    <row r="16" ht="15.75" customHeight="1" spans="1:62">
      <c r="A16" s="34" t="s">
        <v>150</v>
      </c>
      <c r="B16" s="42"/>
      <c r="C16" s="40"/>
      <c r="D16" s="41">
        <f>IF(ISBLANK(B59)," ",$B$18+B59)</f>
        <v>0.82</v>
      </c>
      <c r="E16" s="65">
        <f>IF(ISBLANK(B60)," ",$B$18+B60)</f>
        <v>0.83</v>
      </c>
      <c r="F16" s="65">
        <f>IF(ISBLANK(B61)," ",$B$18+B61)</f>
        <v>0.82</v>
      </c>
      <c r="G16" s="65">
        <f>IF(ISBLANK(B62)," ",$B$18+B62)</f>
        <v>0.82</v>
      </c>
      <c r="H16" s="65">
        <f>IF(ISBLANK(B63)," ",$B$18+B63)</f>
        <v>0.81</v>
      </c>
      <c r="I16" s="65">
        <f>IF(ISBLANK(B64)," ",$B$18+B64)</f>
        <v>0.82</v>
      </c>
      <c r="J16" s="65">
        <f>IF(ISBLANK(B65)," ",$B$18+B65)</f>
        <v>0.82</v>
      </c>
      <c r="K16" s="65">
        <f>IF(ISBLANK(B66)," ",$B$18+B66)</f>
        <v>0.82</v>
      </c>
      <c r="L16" s="65">
        <f>IF(ISBLANK(B67)," ",$B$18+B67)</f>
        <v>0.84</v>
      </c>
      <c r="M16" s="100">
        <f>IF(ISBLANK(B68)," ",$B$18+B68)</f>
        <v>0.83</v>
      </c>
      <c r="AG16" s="97"/>
      <c r="AK16" s="97"/>
      <c r="AL16" s="97"/>
      <c r="AM16" s="97"/>
      <c r="AO16" s="55"/>
      <c r="AP16" s="32"/>
      <c r="AQ16" s="55"/>
      <c r="AR16" s="55"/>
      <c r="AS16" s="97"/>
      <c r="BH16" s="55"/>
      <c r="BI16" s="55"/>
      <c r="BJ16" s="55"/>
    </row>
    <row r="17" ht="15.75" customHeight="1" spans="1:62">
      <c r="A17" s="34" t="s">
        <v>151</v>
      </c>
      <c r="B17" s="29">
        <v>0.001</v>
      </c>
      <c r="C17" s="40"/>
      <c r="D17" s="43" t="str">
        <f>IF(ISBLANK(B69)," ",$B$18+B69)</f>
        <v> </v>
      </c>
      <c r="E17" s="66" t="str">
        <f>IF(ISBLANK(B70)," ",$B$18+B70)</f>
        <v> </v>
      </c>
      <c r="F17" s="66" t="str">
        <f>IF(ISBLANK(B71)," ",$B$18+B71)</f>
        <v> </v>
      </c>
      <c r="G17" s="66" t="str">
        <f>IF(ISBLANK(B72)," ",$B$18+B72)</f>
        <v> </v>
      </c>
      <c r="H17" s="66" t="str">
        <f>IF(ISBLANK(B73)," ",$B$18+B73)</f>
        <v> </v>
      </c>
      <c r="I17" s="88" t="str">
        <f>IF(ISBLANK(B74)," ",$B$18+B74)</f>
        <v> </v>
      </c>
      <c r="J17" s="66" t="str">
        <f>IF(ISBLANK(B75)," ",$B$18+B75)</f>
        <v> </v>
      </c>
      <c r="K17" s="66" t="str">
        <f>IF(ISBLANK(B76)," ",$B$18+B76)</f>
        <v> </v>
      </c>
      <c r="L17" s="66" t="str">
        <f>IF(ISBLANK(B77)," ",$B$18+B77)</f>
        <v> </v>
      </c>
      <c r="M17" s="101" t="str">
        <f>IF(ISBLANK(B78)," ",$B$18+B78)</f>
        <v> </v>
      </c>
      <c r="AD17" s="32"/>
      <c r="AG17" s="97"/>
      <c r="AI17" s="32"/>
      <c r="AJ17" s="31"/>
      <c r="AK17" s="97"/>
      <c r="AL17" s="97"/>
      <c r="AM17" s="97"/>
      <c r="AO17" s="55"/>
      <c r="AP17" s="32"/>
      <c r="AQ17" s="55"/>
      <c r="AR17" s="55"/>
      <c r="AS17" s="97"/>
      <c r="AV17" s="32"/>
      <c r="AW17" s="32"/>
      <c r="BH17" s="55"/>
      <c r="BI17" s="55"/>
      <c r="BJ17" s="55"/>
    </row>
    <row r="18" ht="15.75" customHeight="1" spans="1:62">
      <c r="A18" s="44" t="s">
        <v>152</v>
      </c>
      <c r="C18" s="40"/>
      <c r="D18" s="45" t="str">
        <f>IF(ISBLANK(B79)," ",$B$18+B79)</f>
        <v> </v>
      </c>
      <c r="E18" s="66" t="str">
        <f>IF(ISBLANK(B80)," ",$B$18+B80)</f>
        <v> </v>
      </c>
      <c r="F18" s="66" t="str">
        <f>IF(ISBLANK(B81)," ",$B$18+B81)</f>
        <v> </v>
      </c>
      <c r="G18" s="66" t="str">
        <f>IF(ISBLANK(B82)," ",$B$18+B82)</f>
        <v> </v>
      </c>
      <c r="H18" s="66" t="str">
        <f>IF(ISBLANK(B83)," ",$B$18+B83)</f>
        <v> </v>
      </c>
      <c r="I18" s="66" t="str">
        <f>IF(ISBLANK(B84)," ",$B$18+B84)</f>
        <v> </v>
      </c>
      <c r="J18" s="66" t="str">
        <f>IF(ISBLANK(B85)," ",$B$18+B85)</f>
        <v> </v>
      </c>
      <c r="K18" s="66" t="str">
        <f>IF(ISBLANK(B86)," ",$B$18+B86)</f>
        <v> </v>
      </c>
      <c r="L18" s="66" t="str">
        <f>IF(ISBLANK(B87)," ",$B$18+B87)</f>
        <v> </v>
      </c>
      <c r="M18" s="101" t="str">
        <f>IF(ISBLANK(B88)," ",$B$18+B88)</f>
        <v> </v>
      </c>
      <c r="AG18" s="97"/>
      <c r="AI18" s="97"/>
      <c r="AJ18" s="31"/>
      <c r="AK18" s="97"/>
      <c r="AL18" s="97"/>
      <c r="AM18" s="97"/>
      <c r="AO18" s="55"/>
      <c r="AP18" s="32"/>
      <c r="AQ18" s="55"/>
      <c r="AR18" s="55"/>
      <c r="AS18" s="97"/>
      <c r="AW18" s="32"/>
      <c r="BH18" s="55"/>
      <c r="BI18" s="55"/>
      <c r="BJ18" s="55"/>
    </row>
    <row r="19" ht="15.75" customHeight="1" spans="1:62">
      <c r="A19" s="437" t="s">
        <v>153</v>
      </c>
      <c r="B19" s="29">
        <v>0.81</v>
      </c>
      <c r="D19" s="45" t="str">
        <f>IF(ISBLANK(B89)," ",$B$18+B89)</f>
        <v> </v>
      </c>
      <c r="E19" s="66" t="str">
        <f>IF(ISBLANK(B90)," ",$B$18+B90)</f>
        <v> </v>
      </c>
      <c r="F19" s="66" t="str">
        <f>IF(ISBLANK(B91)," ",$B$18+B91)</f>
        <v> </v>
      </c>
      <c r="G19" s="66" t="str">
        <f>IF(ISBLANK(B92)," ",$B$18+B92)</f>
        <v> </v>
      </c>
      <c r="H19" s="66" t="str">
        <f>IF(ISBLANK(B93)," ",$B$18+B93)</f>
        <v> </v>
      </c>
      <c r="I19" s="66" t="str">
        <f>IF(ISBLANK(B94)," ",$B$18+B94)</f>
        <v> </v>
      </c>
      <c r="J19" s="66" t="str">
        <f>IF(ISBLANK(B95)," ",$B$18+B95)</f>
        <v> </v>
      </c>
      <c r="K19" s="66" t="str">
        <f>IF(ISBLANK(B96)," ",$B$18+B96)</f>
        <v> </v>
      </c>
      <c r="L19" s="66" t="str">
        <f>IF(ISBLANK(B97)," ",$B$18+B97)</f>
        <v> </v>
      </c>
      <c r="M19" s="101" t="str">
        <f>IF(ISBLANK(B98)," ",$B$18+B98)</f>
        <v> </v>
      </c>
      <c r="AG19" s="97"/>
      <c r="AI19" s="97"/>
      <c r="AJ19" s="31"/>
      <c r="AK19" s="97"/>
      <c r="AL19" s="97"/>
      <c r="AM19" s="97"/>
      <c r="AO19" s="55"/>
      <c r="AP19" s="32"/>
      <c r="AQ19" s="55"/>
      <c r="AR19" s="55"/>
      <c r="AS19" s="97"/>
      <c r="AW19" s="32"/>
      <c r="BH19" s="55"/>
      <c r="BI19" s="55"/>
      <c r="BJ19" s="55"/>
    </row>
    <row r="20" ht="15.75" customHeight="1" spans="1:62">
      <c r="A20" s="47">
        <v>2</v>
      </c>
      <c r="B20" s="29">
        <v>0.81</v>
      </c>
      <c r="D20" s="45" t="str">
        <f>IF(ISBLANK(B99)," ",$B$18+B99)</f>
        <v> </v>
      </c>
      <c r="E20" s="66" t="str">
        <f>IF(ISBLANK(B100)," ",$B$18+B100)</f>
        <v> </v>
      </c>
      <c r="F20" s="66" t="str">
        <f>IF(ISBLANK(B101)," ",$B$18+B101)</f>
        <v> </v>
      </c>
      <c r="G20" s="66" t="str">
        <f>IF(ISBLANK(B102)," ",$B$18+B102)</f>
        <v> </v>
      </c>
      <c r="H20" s="66" t="str">
        <f>IF(ISBLANK(B103)," ",$B$18+B103)</f>
        <v> </v>
      </c>
      <c r="I20" s="66" t="str">
        <f>IF(ISBLANK(B104)," ",$B$18+B104)</f>
        <v> </v>
      </c>
      <c r="J20" s="66" t="str">
        <f>IF(ISBLANK(B105)," ",$B$18+B105)</f>
        <v> </v>
      </c>
      <c r="K20" s="66" t="str">
        <f>IF(ISBLANK(B106)," ",$B$18+B106)</f>
        <v> </v>
      </c>
      <c r="L20" s="66" t="str">
        <f>IF(ISBLANK(B107)," ",$B$18+B107)</f>
        <v> </v>
      </c>
      <c r="M20" s="101" t="str">
        <f>IF(ISBLANK(B108)," ",$B$18+B108)</f>
        <v> </v>
      </c>
      <c r="AD20" s="32"/>
      <c r="AE20" s="97"/>
      <c r="AG20" s="97"/>
      <c r="AI20" s="97"/>
      <c r="AJ20" s="31"/>
      <c r="AK20" s="97"/>
      <c r="AL20" s="97"/>
      <c r="AM20" s="97"/>
      <c r="AO20" s="55"/>
      <c r="AP20" s="32"/>
      <c r="AQ20" s="55"/>
      <c r="AR20" s="55"/>
      <c r="AS20" s="97"/>
      <c r="AW20" s="32"/>
      <c r="BH20" s="55"/>
      <c r="BI20" s="55"/>
      <c r="BJ20" s="55"/>
    </row>
    <row r="21" ht="15.75" customHeight="1" spans="1:62">
      <c r="A21" s="47">
        <v>3</v>
      </c>
      <c r="B21" s="29">
        <v>0.82</v>
      </c>
      <c r="D21" s="45" t="str">
        <f>IF(ISBLANK(B109)," ",$B$18+B109)</f>
        <v> </v>
      </c>
      <c r="E21" s="66" t="str">
        <f>IF(ISBLANK(B110)," ",$B$18+B110)</f>
        <v> </v>
      </c>
      <c r="F21" s="66" t="str">
        <f>IF(ISBLANK(B111)," ",$B$18+B111)</f>
        <v> </v>
      </c>
      <c r="G21" s="66" t="str">
        <f>IF(ISBLANK(B112)," ",$B$18+B112)</f>
        <v> </v>
      </c>
      <c r="H21" s="66" t="str">
        <f>IF(ISBLANK(B113)," ",$B$18+B113)</f>
        <v> </v>
      </c>
      <c r="I21" s="66" t="str">
        <f>IF(ISBLANK(B114)," ",$B$18+B114)</f>
        <v> </v>
      </c>
      <c r="J21" s="66" t="str">
        <f>IF(ISBLANK(B115)," ",$B$18+B115)</f>
        <v> </v>
      </c>
      <c r="K21" s="66" t="str">
        <f>IF(ISBLANK(B116)," ",$B$18+B116)</f>
        <v> </v>
      </c>
      <c r="L21" s="66" t="str">
        <f>IF(ISBLANK(B117)," ",$B$18+B117)</f>
        <v> </v>
      </c>
      <c r="M21" s="101" t="str">
        <f>IF(ISBLANK(B118)," ",$B$18+B118)</f>
        <v> </v>
      </c>
      <c r="AE21" s="97"/>
      <c r="AG21" s="97"/>
      <c r="AI21" s="97"/>
      <c r="AJ21" s="31"/>
      <c r="AK21" s="97"/>
      <c r="AL21" s="97"/>
      <c r="AM21" s="97"/>
      <c r="AO21" s="55"/>
      <c r="AP21" s="32"/>
      <c r="AQ21" s="55"/>
      <c r="AR21" s="55"/>
      <c r="AS21" s="97"/>
      <c r="AW21" s="32"/>
      <c r="BH21" s="55"/>
      <c r="BI21" s="55"/>
      <c r="BJ21" s="55"/>
    </row>
    <row r="22" ht="15.75" customHeight="1" spans="1:62">
      <c r="A22" s="47">
        <v>4</v>
      </c>
      <c r="B22" s="29">
        <v>0.83</v>
      </c>
      <c r="D22" s="45" t="str">
        <f>IF(ISBLANK(B119)," ",$B$18+B119)</f>
        <v> </v>
      </c>
      <c r="E22" s="66" t="str">
        <f>IF(ISBLANK(B120)," ",$B$18+B120)</f>
        <v> </v>
      </c>
      <c r="F22" s="66" t="str">
        <f>IF(ISBLANK(B121)," ",$B$18+B121)</f>
        <v> </v>
      </c>
      <c r="G22" s="66" t="str">
        <f>IF(ISBLANK(B122)," ",$B$18+B122)</f>
        <v> </v>
      </c>
      <c r="H22" s="66" t="str">
        <f>IF(ISBLANK(B123)," ",$B$18+B123)</f>
        <v> </v>
      </c>
      <c r="I22" s="66" t="str">
        <f>IF(ISBLANK(B124)," ",$B$18+B124)</f>
        <v> </v>
      </c>
      <c r="J22" s="66" t="str">
        <f>IF(ISBLANK(B125)," ",$B$18+B125)</f>
        <v> </v>
      </c>
      <c r="K22" s="66" t="str">
        <f>IF(ISBLANK(B126)," ",$B$18+B126)</f>
        <v> </v>
      </c>
      <c r="L22" s="66" t="str">
        <f>IF(ISBLANK(B127)," ",$B$18+B127)</f>
        <v> </v>
      </c>
      <c r="M22" s="101" t="str">
        <f>IF(ISBLANK(B128)," ",$B$18+B128)</f>
        <v> </v>
      </c>
      <c r="AD22" s="32"/>
      <c r="AE22" s="31"/>
      <c r="AG22" s="97"/>
      <c r="AH22" s="97"/>
      <c r="AI22" s="97"/>
      <c r="AJ22" s="31"/>
      <c r="AK22" s="97"/>
      <c r="AL22" s="97"/>
      <c r="AM22" s="97"/>
      <c r="AO22" s="55"/>
      <c r="AP22" s="32"/>
      <c r="AQ22" s="55"/>
      <c r="AR22" s="55"/>
      <c r="AS22" s="97"/>
      <c r="AW22" s="32"/>
      <c r="BH22" s="55"/>
      <c r="BI22" s="55"/>
      <c r="BJ22" s="55"/>
    </row>
    <row r="23" ht="15.75" customHeight="1" spans="1:62">
      <c r="A23" s="47">
        <v>5</v>
      </c>
      <c r="B23" s="29">
        <v>0.82</v>
      </c>
      <c r="D23" s="45" t="str">
        <f>IF(ISBLANK(B129)," ",$B$18+B129)</f>
        <v> </v>
      </c>
      <c r="E23" s="66" t="str">
        <f>IF(ISBLANK(B130)," ",$B$18+B130)</f>
        <v> </v>
      </c>
      <c r="F23" s="66" t="str">
        <f>IF(ISBLANK(B131)," ",$B$18+B131)</f>
        <v> </v>
      </c>
      <c r="G23" s="66" t="str">
        <f>IF(ISBLANK(B132)," ",$B$18+B132)</f>
        <v> </v>
      </c>
      <c r="H23" s="66" t="str">
        <f>IF(ISBLANK(B133)," ",$B$18+B133)</f>
        <v> </v>
      </c>
      <c r="I23" s="66" t="str">
        <f>IF(ISBLANK(B134)," ",$B$18+B134)</f>
        <v> </v>
      </c>
      <c r="J23" s="66" t="str">
        <f>IF(ISBLANK(B135)," ",$B$18+B135)</f>
        <v> </v>
      </c>
      <c r="K23" s="66" t="str">
        <f>IF(ISBLANK(B136)," ",$B$18+B136)</f>
        <v> </v>
      </c>
      <c r="L23" s="66" t="str">
        <f>IF(ISBLANK(B137)," ",$B$18+B137)</f>
        <v> </v>
      </c>
      <c r="M23" s="101" t="str">
        <f>IF(ISBLANK(B138)," ",$B$18+B138)</f>
        <v> </v>
      </c>
      <c r="AD23" s="32"/>
      <c r="AE23" s="31"/>
      <c r="AG23" s="97"/>
      <c r="AH23" s="97"/>
      <c r="AI23" s="97"/>
      <c r="AJ23" s="31"/>
      <c r="AK23" s="97"/>
      <c r="AL23" s="97"/>
      <c r="AM23" s="97"/>
      <c r="AO23" s="55"/>
      <c r="AP23" s="32"/>
      <c r="AQ23" s="55"/>
      <c r="AR23" s="55"/>
      <c r="AS23" s="97"/>
      <c r="AW23" s="32"/>
      <c r="BH23" s="55"/>
      <c r="BI23" s="55"/>
      <c r="BJ23" s="55"/>
    </row>
    <row r="24" ht="15.75" customHeight="1" spans="1:62">
      <c r="A24" s="47">
        <v>6</v>
      </c>
      <c r="B24" s="29">
        <v>0.82</v>
      </c>
      <c r="D24" s="45" t="str">
        <f>IF(ISBLANK(B139)," ",$B$18+B139)</f>
        <v> </v>
      </c>
      <c r="E24" s="66" t="str">
        <f>IF(ISBLANK(B140)," ",$B$18+B140)</f>
        <v> </v>
      </c>
      <c r="F24" s="66" t="str">
        <f>IF(ISBLANK(B141)," ",$B$18+B141)</f>
        <v> </v>
      </c>
      <c r="G24" s="66" t="str">
        <f>IF(ISBLANK(B142)," ",$B$18+B142)</f>
        <v> </v>
      </c>
      <c r="H24" s="66" t="str">
        <f>IF(ISBLANK(B143)," ",$B$18+B143)</f>
        <v> </v>
      </c>
      <c r="I24" s="66" t="str">
        <f>IF(ISBLANK(B144)," ",$B$18+B144)</f>
        <v> </v>
      </c>
      <c r="J24" s="66" t="str">
        <f>IF(ISBLANK(B145)," ",$B$18+B145)</f>
        <v> </v>
      </c>
      <c r="K24" s="66" t="str">
        <f>IF(ISBLANK(B146)," ",$B$18+B146)</f>
        <v> </v>
      </c>
      <c r="L24" s="66" t="str">
        <f>IF(ISBLANK(B147)," ",$B$18+B147)</f>
        <v> </v>
      </c>
      <c r="M24" s="101" t="str">
        <f>IF(ISBLANK(B148)," ",$B$18+B148)</f>
        <v> </v>
      </c>
      <c r="AD24" s="32"/>
      <c r="AE24" s="32"/>
      <c r="AG24" s="97"/>
      <c r="AH24" s="97"/>
      <c r="AI24" s="97"/>
      <c r="AJ24" s="31"/>
      <c r="AK24" s="97"/>
      <c r="AL24" s="97"/>
      <c r="AM24" s="97"/>
      <c r="AO24" s="55"/>
      <c r="AP24" s="32"/>
      <c r="AQ24" s="55"/>
      <c r="AR24" s="55"/>
      <c r="AS24" s="97"/>
      <c r="AW24" s="32"/>
      <c r="BH24" s="55"/>
      <c r="BI24" s="55"/>
      <c r="BJ24" s="55"/>
    </row>
    <row r="25" ht="15.75" customHeight="1" spans="1:62">
      <c r="A25" s="47">
        <v>7</v>
      </c>
      <c r="B25" s="29">
        <v>0.74</v>
      </c>
      <c r="D25" s="45" t="str">
        <f>IF(ISBLANK(B149)," ",$B$18+B149)</f>
        <v> </v>
      </c>
      <c r="E25" s="66" t="str">
        <f>IF(ISBLANK(B150)," ",$B$18+B150)</f>
        <v> </v>
      </c>
      <c r="F25" s="66" t="str">
        <f>IF(ISBLANK(B151)," ",$B$18+B151)</f>
        <v> </v>
      </c>
      <c r="G25" s="66" t="str">
        <f>IF(ISBLANK(B152)," ",$B$18+B152)</f>
        <v> </v>
      </c>
      <c r="H25" s="66" t="str">
        <f>IF(ISBLANK(B153)," ",$B$18+B153)</f>
        <v> </v>
      </c>
      <c r="I25" s="66" t="str">
        <f>IF(ISBLANK(B154)," ",$B$18+B154)</f>
        <v> </v>
      </c>
      <c r="J25" s="66" t="str">
        <f>IF(ISBLANK(B155)," ",$B$18+B155)</f>
        <v> </v>
      </c>
      <c r="K25" s="66" t="str">
        <f>IF(ISBLANK(B156)," ",$B$18+B156)</f>
        <v> </v>
      </c>
      <c r="L25" s="66" t="str">
        <f>IF(ISBLANK(B157)," ",$B$18+B157)</f>
        <v> </v>
      </c>
      <c r="M25" s="101" t="str">
        <f>IF(ISBLANK(B158)," ",$B$18+B158)</f>
        <v> </v>
      </c>
      <c r="AG25" s="97"/>
      <c r="AH25" s="97"/>
      <c r="AJ25" s="32"/>
      <c r="AO25" s="55"/>
      <c r="AP25" s="32"/>
      <c r="AQ25" s="55"/>
      <c r="AR25" s="55"/>
      <c r="AS25" s="97"/>
      <c r="AW25" s="32"/>
      <c r="BH25" s="55"/>
      <c r="BI25" s="55"/>
      <c r="BJ25" s="55"/>
    </row>
    <row r="26" ht="15.75" customHeight="1" spans="1:62">
      <c r="A26" s="47">
        <v>8</v>
      </c>
      <c r="B26" s="29">
        <v>0.82</v>
      </c>
      <c r="D26" s="45" t="str">
        <f>IF(ISBLANK(B159)," ",$B$18+B159)</f>
        <v> </v>
      </c>
      <c r="E26" s="66" t="str">
        <f>IF(ISBLANK(B160)," ",$B$18+B160)</f>
        <v> </v>
      </c>
      <c r="F26" s="66" t="str">
        <f>IF(ISBLANK(B161)," ",$B$18+B161)</f>
        <v> </v>
      </c>
      <c r="G26" s="66" t="str">
        <f>IF(ISBLANK(B162)," ",$B$18+B162)</f>
        <v> </v>
      </c>
      <c r="H26" s="66" t="str">
        <f>IF(ISBLANK(B163)," ",$B$18+B163)</f>
        <v> </v>
      </c>
      <c r="I26" s="66" t="str">
        <f>IF(ISBLANK(B164)," ",$B$18+B164)</f>
        <v> </v>
      </c>
      <c r="J26" s="66" t="str">
        <f>IF(ISBLANK(B165)," ",$B$18+B165)</f>
        <v> </v>
      </c>
      <c r="K26" s="66" t="str">
        <f>IF(ISBLANK(B166)," ",$B$18+B166)</f>
        <v> </v>
      </c>
      <c r="L26" s="66" t="str">
        <f>IF(ISBLANK(B167)," ",$B$18+B167)</f>
        <v> </v>
      </c>
      <c r="M26" s="101" t="str">
        <f>IF(ISBLANK(B168)," ",$B$18+B168)</f>
        <v> </v>
      </c>
      <c r="AD26" s="32"/>
      <c r="AG26" s="97"/>
      <c r="AH26" s="97"/>
      <c r="AJ26" s="32"/>
      <c r="AO26" s="55"/>
      <c r="AP26" s="32"/>
      <c r="AQ26" s="55"/>
      <c r="AR26" s="55"/>
      <c r="AS26" s="97"/>
      <c r="AW26" s="32"/>
      <c r="BH26" s="55"/>
      <c r="BI26" s="55"/>
      <c r="BJ26" s="55"/>
    </row>
    <row r="27" ht="15.75" customHeight="1" spans="1:62">
      <c r="A27" s="47">
        <v>9</v>
      </c>
      <c r="B27" s="29">
        <v>0.82</v>
      </c>
      <c r="D27" s="45" t="str">
        <f>IF(ISBLANK(B169)," ",$B$18+B169)</f>
        <v> </v>
      </c>
      <c r="E27" s="66" t="str">
        <f>IF(ISBLANK(B170)," ",$B$18+B170)</f>
        <v> </v>
      </c>
      <c r="F27" s="66" t="str">
        <f>IF(ISBLANK(B171)," ",$B$18+B171)</f>
        <v> </v>
      </c>
      <c r="G27" s="66" t="str">
        <f>IF(ISBLANK(B172)," ",$B$18+B172)</f>
        <v> </v>
      </c>
      <c r="H27" s="66" t="str">
        <f>IF(ISBLANK(B173)," ",$B$18+B173)</f>
        <v> </v>
      </c>
      <c r="I27" s="66" t="str">
        <f>IF(ISBLANK(B174)," ",$B$18+B174)</f>
        <v> </v>
      </c>
      <c r="J27" s="66" t="str">
        <f>IF(ISBLANK(B175)," ",$B$18+B175)</f>
        <v> </v>
      </c>
      <c r="K27" s="66" t="str">
        <f>IF(ISBLANK(B176)," ",$B$18+B176)</f>
        <v> </v>
      </c>
      <c r="L27" s="66" t="str">
        <f>IF(ISBLANK(B177)," ",$B$18+B177)</f>
        <v> </v>
      </c>
      <c r="M27" s="101" t="str">
        <f>IF(ISBLANK(B178)," ",$B$18+B178)</f>
        <v> </v>
      </c>
      <c r="AD27" s="32"/>
      <c r="AG27" s="97"/>
      <c r="AH27" s="97"/>
      <c r="AJ27" s="31"/>
      <c r="AO27" s="55"/>
      <c r="AP27" s="32"/>
      <c r="AQ27" s="55"/>
      <c r="AR27" s="55"/>
      <c r="AS27" s="97"/>
      <c r="AW27" s="32"/>
      <c r="BH27" s="55"/>
      <c r="BI27" s="55"/>
      <c r="BJ27" s="55"/>
    </row>
    <row r="28" ht="15.75" customHeight="1" spans="1:62">
      <c r="A28" s="47">
        <v>10</v>
      </c>
      <c r="B28" s="29">
        <v>0.8</v>
      </c>
      <c r="D28" s="45" t="str">
        <f>IF(ISBLANK(B179)," ",$B$18+B179)</f>
        <v> </v>
      </c>
      <c r="E28" s="66" t="str">
        <f>IF(ISBLANK(B180)," ",$B$18+B180)</f>
        <v> </v>
      </c>
      <c r="F28" s="66" t="str">
        <f>IF(ISBLANK(B181)," ",$B$18+B181)</f>
        <v> </v>
      </c>
      <c r="G28" s="66" t="str">
        <f>IF(ISBLANK(B182)," ",$B$18+B182)</f>
        <v> </v>
      </c>
      <c r="H28" s="66" t="str">
        <f>IF(ISBLANK(B183)," ",$B$18+B183)</f>
        <v> </v>
      </c>
      <c r="I28" s="66" t="str">
        <f>IF(ISBLANK(B184)," ",$B$18+B184)</f>
        <v> </v>
      </c>
      <c r="J28" s="66" t="str">
        <f>IF(ISBLANK(B185)," ",$B$18+B185)</f>
        <v> </v>
      </c>
      <c r="K28" s="66" t="str">
        <f>IF(ISBLANK(B186)," ",$B$18+B186)</f>
        <v> </v>
      </c>
      <c r="L28" s="66" t="str">
        <f>IF(ISBLANK(B187)," ",$B$18+B187)</f>
        <v> </v>
      </c>
      <c r="M28" s="101" t="str">
        <f>IF(ISBLANK(B188)," ",$B$18+B188)</f>
        <v> </v>
      </c>
      <c r="AD28" s="32"/>
      <c r="AG28" s="97"/>
      <c r="AH28" s="97"/>
      <c r="AJ28" s="31"/>
      <c r="AO28" s="55"/>
      <c r="AP28" s="32"/>
      <c r="AQ28" s="55"/>
      <c r="AR28" s="55"/>
      <c r="AS28" s="97"/>
      <c r="AW28" s="32"/>
      <c r="BH28" s="55"/>
      <c r="BI28" s="55"/>
      <c r="BJ28" s="55"/>
    </row>
    <row r="29" ht="15.75" customHeight="1" spans="1:62">
      <c r="A29" s="47">
        <v>11</v>
      </c>
      <c r="B29" s="29">
        <v>0.83</v>
      </c>
      <c r="D29" s="45" t="str">
        <f>IF(ISBLANK(B189)," ",$B$18+B189)</f>
        <v> </v>
      </c>
      <c r="E29" s="66" t="str">
        <f>IF(ISBLANK(B190)," ",$B$18+B190)</f>
        <v> </v>
      </c>
      <c r="F29" s="66" t="str">
        <f>IF(ISBLANK(B191)," ",$B$18+B191)</f>
        <v> </v>
      </c>
      <c r="G29" s="66" t="str">
        <f>IF(ISBLANK(B192)," ",$B$18+B192)</f>
        <v> </v>
      </c>
      <c r="H29" s="66" t="str">
        <f>IF(ISBLANK(B193)," ",$B$18+B193)</f>
        <v> </v>
      </c>
      <c r="I29" s="66" t="str">
        <f>IF(ISBLANK(B194)," ",$B$18+B194)</f>
        <v> </v>
      </c>
      <c r="J29" s="66" t="str">
        <f>IF(ISBLANK(B195)," ",$B$18+B195)</f>
        <v> </v>
      </c>
      <c r="K29" s="66" t="str">
        <f>IF(ISBLANK(B196)," ",$B$18+B196)</f>
        <v> </v>
      </c>
      <c r="L29" s="66" t="str">
        <f>IF(ISBLANK(B197)," ",$B$18+B197)</f>
        <v> </v>
      </c>
      <c r="M29" s="101" t="str">
        <f>IF(ISBLANK(B198)," ",$B$18+B198)</f>
        <v> </v>
      </c>
      <c r="AD29" s="32"/>
      <c r="AG29" s="97"/>
      <c r="AH29" s="97"/>
      <c r="AJ29" s="31"/>
      <c r="AO29" s="55"/>
      <c r="AP29" s="32"/>
      <c r="AQ29" s="55"/>
      <c r="AR29" s="55"/>
      <c r="AS29" s="97"/>
      <c r="AW29" s="32"/>
      <c r="BH29" s="55"/>
      <c r="BI29" s="55"/>
      <c r="BJ29" s="55"/>
    </row>
    <row r="30" ht="15.75" customHeight="1" spans="1:62">
      <c r="A30" s="47">
        <v>12</v>
      </c>
      <c r="B30" s="29">
        <v>0.83</v>
      </c>
      <c r="D30" s="45" t="str">
        <f>IF(ISBLANK(B199)," ",$B$18+B199)</f>
        <v> </v>
      </c>
      <c r="E30" s="66" t="str">
        <f>IF(ISBLANK(B200)," ",$B$18+B200)</f>
        <v> </v>
      </c>
      <c r="F30" s="66" t="str">
        <f>IF(ISBLANK(B201)," ",$B$18+B201)</f>
        <v> </v>
      </c>
      <c r="G30" s="66" t="str">
        <f>IF(ISBLANK(B202)," ",$B$18+B202)</f>
        <v> </v>
      </c>
      <c r="H30" s="66" t="str">
        <f>IF(ISBLANK(B203)," ",$B$18+B203)</f>
        <v> </v>
      </c>
      <c r="I30" s="66" t="str">
        <f>IF(ISBLANK(B204)," ",$B$18+B204)</f>
        <v> </v>
      </c>
      <c r="J30" s="66" t="str">
        <f>IF(ISBLANK(B205)," ",$B$18+B205)</f>
        <v> </v>
      </c>
      <c r="K30" s="66" t="str">
        <f>IF(ISBLANK(B206)," ",$B$18+B206)</f>
        <v> </v>
      </c>
      <c r="L30" s="66" t="str">
        <f>IF(ISBLANK(B207)," ",$B$18+B207)</f>
        <v> </v>
      </c>
      <c r="M30" s="101" t="str">
        <f>IF(ISBLANK(B208)," ",$B$18+B208)</f>
        <v> </v>
      </c>
      <c r="AD30" s="32"/>
      <c r="AG30" s="97"/>
      <c r="AH30" s="97"/>
      <c r="AJ30" s="31"/>
      <c r="AO30" s="55"/>
      <c r="AP30" s="32"/>
      <c r="AQ30" s="55"/>
      <c r="AR30" s="55"/>
      <c r="AS30" s="97"/>
      <c r="AW30" s="32"/>
      <c r="BH30" s="55"/>
      <c r="BI30" s="55"/>
      <c r="BJ30" s="55"/>
    </row>
    <row r="31" ht="15.75" customHeight="1" spans="1:62">
      <c r="A31" s="47">
        <v>13</v>
      </c>
      <c r="B31" s="29">
        <v>0.81</v>
      </c>
      <c r="D31" s="48" t="str">
        <f>IF(ISBLANK(B209)," ",$B$18+B209)</f>
        <v> </v>
      </c>
      <c r="E31" s="67" t="str">
        <f>IF(ISBLANK(B210)," ",$B$18+B210)</f>
        <v> </v>
      </c>
      <c r="F31" s="67" t="str">
        <f>IF(ISBLANK(B211)," ",$B$18+B211)</f>
        <v> </v>
      </c>
      <c r="G31" s="67" t="str">
        <f>IF(ISBLANK(B212)," ",$B$18+B212)</f>
        <v> </v>
      </c>
      <c r="H31" s="67" t="str">
        <f>IF(ISBLANK(B213)," ",$B$18+B213)</f>
        <v> </v>
      </c>
      <c r="I31" s="67" t="str">
        <f>IF(ISBLANK(B214)," ",$B$18+B214)</f>
        <v> </v>
      </c>
      <c r="J31" s="67" t="str">
        <f>IF(ISBLANK(B215)," ",$B$18+B215)</f>
        <v> </v>
      </c>
      <c r="K31" s="67" t="str">
        <f>IF(ISBLANK(B216)," ",$B$18+B216)</f>
        <v> </v>
      </c>
      <c r="L31" s="67" t="str">
        <f>IF(ISBLANK(B217)," ",$B$18+B217)</f>
        <v> </v>
      </c>
      <c r="M31" s="102" t="str">
        <f>IF(ISBLANK(B218)," ",$B$18+B218)</f>
        <v> </v>
      </c>
      <c r="AD31" s="32"/>
      <c r="AH31" s="97"/>
      <c r="AJ31" s="32"/>
      <c r="AO31" s="55"/>
      <c r="AP31" s="32"/>
      <c r="AQ31" s="55"/>
      <c r="AR31" s="55"/>
      <c r="AS31" s="97"/>
      <c r="AW31" s="32"/>
      <c r="BH31" s="55"/>
      <c r="BI31" s="55"/>
      <c r="BJ31" s="55"/>
    </row>
    <row r="32" ht="19.5" customHeight="1" spans="1:62">
      <c r="A32" s="47">
        <v>14</v>
      </c>
      <c r="B32" s="29">
        <v>0.84</v>
      </c>
      <c r="D32" s="438" t="s">
        <v>154</v>
      </c>
      <c r="E32" s="68">
        <f>B18+AVERAGEA(B19:B218)</f>
        <v>0.8188</v>
      </c>
      <c r="F32" s="69"/>
      <c r="G32" s="70" t="s">
        <v>155</v>
      </c>
      <c r="H32" s="71">
        <f>B18+MINA(B19:B218)</f>
        <v>0.74</v>
      </c>
      <c r="I32" s="69"/>
      <c r="J32" s="439" t="s">
        <v>156</v>
      </c>
      <c r="K32" s="71">
        <f>B18+MAXA(B19:B218)</f>
        <v>0.85</v>
      </c>
      <c r="L32" s="70" t="s">
        <v>157</v>
      </c>
      <c r="M32" s="103">
        <f>COUNTA(B19:B218)</f>
        <v>50</v>
      </c>
      <c r="AD32" s="32"/>
      <c r="AH32" s="97"/>
      <c r="AO32" s="55"/>
      <c r="AP32" s="32"/>
      <c r="AQ32" s="55"/>
      <c r="AR32" s="55"/>
      <c r="AS32" s="97"/>
      <c r="AW32" s="32"/>
      <c r="BH32" s="55"/>
      <c r="BI32" s="55"/>
      <c r="BJ32" s="55"/>
    </row>
    <row r="33" ht="25.5" customHeight="1" spans="1:62">
      <c r="A33" s="47">
        <v>15</v>
      </c>
      <c r="B33" s="29">
        <v>0.84</v>
      </c>
      <c r="D33" s="440" t="s">
        <v>158</v>
      </c>
      <c r="E33" s="72">
        <f>STDEVA(B19:B218)</f>
        <v>0.0205674599346459</v>
      </c>
      <c r="F33" s="73"/>
      <c r="G33" s="74" t="s">
        <v>159</v>
      </c>
      <c r="H33" s="75">
        <f>IF(B12=3,(I10-E32)/(E33*3),IF(B12=4,(E32-I10)/(E33*3),IF(B12=2,I10/(E32+3*E33),I10/(6*E33))))</f>
        <v>1.29654642582999</v>
      </c>
      <c r="I33" s="89"/>
      <c r="J33" s="90" t="s">
        <v>160</v>
      </c>
      <c r="K33" s="75">
        <f>IF(OR(OR(B12=3,B12=4),B12=2)," ",IF(M33&gt;=1,0,(1-M33)*H33))</f>
        <v>0.991858015759944</v>
      </c>
      <c r="L33" s="90" t="s">
        <v>161</v>
      </c>
      <c r="M33" s="104">
        <f>IF(OR(OR(B12=3,B12=4),B12=2)," ",ABS(I11-E32)/(I10/2))</f>
        <v>0.234999999999999</v>
      </c>
      <c r="AD33" s="32"/>
      <c r="AH33" s="97"/>
      <c r="AJ33" s="32"/>
      <c r="AK33" s="32"/>
      <c r="AL33" s="32"/>
      <c r="AM33" s="32"/>
      <c r="AN33" s="32"/>
      <c r="AO33" s="55"/>
      <c r="AP33" s="32"/>
      <c r="AQ33" s="55"/>
      <c r="AR33" s="55"/>
      <c r="AS33" s="97"/>
      <c r="AW33" s="32"/>
      <c r="BH33" s="55"/>
      <c r="BI33" s="55"/>
      <c r="BJ33" s="55"/>
    </row>
    <row r="34" ht="15.75" customHeight="1" spans="1:62">
      <c r="A34" s="47">
        <v>16</v>
      </c>
      <c r="B34" s="29">
        <v>0.81</v>
      </c>
      <c r="D34" s="51"/>
      <c r="E34" s="73"/>
      <c r="F34" s="73"/>
      <c r="G34" s="74" t="s">
        <v>162</v>
      </c>
      <c r="H34" s="76">
        <f>1/H33</f>
        <v>0.771279747549221</v>
      </c>
      <c r="I34" s="91"/>
      <c r="J34" s="92" t="s">
        <v>163</v>
      </c>
      <c r="K34" s="76">
        <f>IF(OR(OR(B12=3,B12=4),B12=2)," ",IF(M33&gt;=1,0,1/K33))</f>
        <v>1.00820882032578</v>
      </c>
      <c r="L34" s="73"/>
      <c r="M34" s="105"/>
      <c r="AD34" s="32"/>
      <c r="AH34" s="97"/>
      <c r="AJ34" s="32"/>
      <c r="AK34" s="32"/>
      <c r="AL34" s="32"/>
      <c r="AM34" s="32"/>
      <c r="AN34" s="32"/>
      <c r="AO34" s="55"/>
      <c r="AP34" s="32"/>
      <c r="AQ34" s="55"/>
      <c r="AR34" s="55"/>
      <c r="AS34" s="97"/>
      <c r="AW34" s="32"/>
      <c r="BH34" s="55"/>
      <c r="BI34" s="55"/>
      <c r="BJ34" s="55"/>
    </row>
    <row r="35" ht="25.5" customHeight="1" spans="1:62">
      <c r="A35" s="47">
        <v>17</v>
      </c>
      <c r="B35" s="29">
        <v>0.83</v>
      </c>
      <c r="D35" s="441" t="s">
        <v>164</v>
      </c>
      <c r="E35" s="73"/>
      <c r="F35" s="73"/>
      <c r="G35" s="77">
        <f>IF(B12=4,0,1-NORMDIST(I8,E32,E33,TRUE))</f>
        <v>0.00146220370085648</v>
      </c>
      <c r="H35" s="73"/>
      <c r="I35" s="442" t="s">
        <v>165</v>
      </c>
      <c r="J35" s="73"/>
      <c r="K35" s="73"/>
      <c r="L35" s="77">
        <f>IF(OR(B12=2,B12=3),0,NORMDIST(I9,E32,E33,TRUE))</f>
        <v>7.78783221978617e-7</v>
      </c>
      <c r="M35" s="105"/>
      <c r="AD35" s="32"/>
      <c r="AG35" s="97"/>
      <c r="AH35" s="97"/>
      <c r="AO35" s="55"/>
      <c r="AP35" s="32"/>
      <c r="AQ35" s="55"/>
      <c r="AR35" s="55"/>
      <c r="AS35" s="97"/>
      <c r="BH35" s="55"/>
      <c r="BI35" s="55"/>
      <c r="BJ35" s="55"/>
    </row>
    <row r="36" ht="25.5" customHeight="1" spans="1:62">
      <c r="A36" s="47">
        <v>18</v>
      </c>
      <c r="B36" s="29">
        <v>0.76</v>
      </c>
      <c r="D36" s="440" t="s">
        <v>166</v>
      </c>
      <c r="E36" s="73"/>
      <c r="F36" s="73"/>
      <c r="G36" s="78">
        <f>KURT(B19:B218)+3</f>
        <v>7.40415977933195</v>
      </c>
      <c r="H36" s="73"/>
      <c r="I36" s="443" t="s">
        <v>167</v>
      </c>
      <c r="J36" s="73"/>
      <c r="K36" s="73"/>
      <c r="L36" s="78">
        <f>SKEW(B19:B218)</f>
        <v>-1.6939765615458</v>
      </c>
      <c r="M36" s="105"/>
      <c r="AD36" s="32"/>
      <c r="AG36" s="97"/>
      <c r="AH36" s="97"/>
      <c r="AO36" s="55"/>
      <c r="AP36" s="32"/>
      <c r="AQ36" s="55"/>
      <c r="AR36" s="55"/>
      <c r="AS36" s="97"/>
      <c r="BH36" s="55"/>
      <c r="BI36" s="55"/>
      <c r="BJ36" s="55"/>
    </row>
    <row r="37" ht="25.5" customHeight="1" spans="1:62">
      <c r="A37" s="47">
        <v>19</v>
      </c>
      <c r="B37" s="29">
        <v>0.85</v>
      </c>
      <c r="D37" s="444" t="s">
        <v>168</v>
      </c>
      <c r="E37" s="79"/>
      <c r="F37" s="79"/>
      <c r="G37" s="80">
        <f>IF(AND(I9=0,(E32-3*E33)&lt;=0),0,+E32-3*E33)</f>
        <v>0.757097620196062</v>
      </c>
      <c r="H37" s="81" t="s">
        <v>169</v>
      </c>
      <c r="I37" s="95">
        <f>E32+3*E33</f>
        <v>0.880502379803938</v>
      </c>
      <c r="J37" s="79"/>
      <c r="K37" s="79"/>
      <c r="L37" s="79"/>
      <c r="M37" s="106"/>
      <c r="AD37" s="32"/>
      <c r="AG37" s="97"/>
      <c r="AH37" s="97"/>
      <c r="AO37" s="55"/>
      <c r="AP37" s="32"/>
      <c r="AQ37" s="55"/>
      <c r="AR37" s="55"/>
      <c r="AS37" s="97"/>
      <c r="BH37" s="55"/>
      <c r="BI37" s="55"/>
      <c r="BJ37" s="55"/>
    </row>
    <row r="38" ht="15.75" customHeight="1" spans="1:62">
      <c r="A38" s="47">
        <v>20</v>
      </c>
      <c r="B38" s="29">
        <v>0.84</v>
      </c>
      <c r="D38" s="32"/>
      <c r="AD38" s="32"/>
      <c r="AG38" s="97"/>
      <c r="AH38" s="97"/>
      <c r="AO38" s="55"/>
      <c r="AP38" s="32"/>
      <c r="AQ38" s="55"/>
      <c r="AR38" s="55"/>
      <c r="AS38" s="97"/>
      <c r="BH38" s="55"/>
      <c r="BI38" s="55"/>
      <c r="BJ38" s="55"/>
    </row>
    <row r="39" ht="23.2" spans="1:62">
      <c r="A39" s="47">
        <v>21</v>
      </c>
      <c r="B39" s="29">
        <v>0.82</v>
      </c>
      <c r="D39" s="445" t="s">
        <v>170</v>
      </c>
      <c r="AD39" s="32"/>
      <c r="AG39" s="97"/>
      <c r="AH39" s="97"/>
      <c r="AO39" s="55"/>
      <c r="AP39" s="32"/>
      <c r="AQ39" s="55"/>
      <c r="AR39" s="55"/>
      <c r="AS39" s="97"/>
      <c r="BH39" s="55"/>
      <c r="BI39" s="55"/>
      <c r="BJ39" s="55"/>
    </row>
    <row r="40" spans="1:62">
      <c r="A40" s="47">
        <v>22</v>
      </c>
      <c r="B40" s="29">
        <v>0.83</v>
      </c>
      <c r="D40" s="55"/>
      <c r="AD40" s="32"/>
      <c r="AG40" s="97"/>
      <c r="AH40" s="97"/>
      <c r="AI40" s="97"/>
      <c r="AJ40" s="97"/>
      <c r="AK40" s="97"/>
      <c r="AL40" s="97"/>
      <c r="AM40" s="97"/>
      <c r="AO40" s="55"/>
      <c r="AP40" s="32"/>
      <c r="AQ40" s="55"/>
      <c r="AR40" s="55"/>
      <c r="AS40" s="97"/>
      <c r="BH40" s="55"/>
      <c r="BI40" s="55"/>
      <c r="BJ40" s="55"/>
    </row>
    <row r="41" spans="1:62">
      <c r="A41" s="47">
        <v>23</v>
      </c>
      <c r="B41" s="29">
        <v>0.84</v>
      </c>
      <c r="D41" s="55"/>
      <c r="E41" s="82"/>
      <c r="G41" s="55"/>
      <c r="AD41" s="32"/>
      <c r="AG41" s="97"/>
      <c r="AH41" s="97"/>
      <c r="AI41" s="97"/>
      <c r="AJ41" s="97"/>
      <c r="AK41" s="97"/>
      <c r="AL41" s="97"/>
      <c r="AM41" s="97"/>
      <c r="AO41" s="55"/>
      <c r="AP41" s="32"/>
      <c r="AQ41" s="55"/>
      <c r="AR41" s="55"/>
      <c r="AS41" s="97"/>
      <c r="BH41" s="55"/>
      <c r="BI41" s="55"/>
      <c r="BJ41" s="55"/>
    </row>
    <row r="42" spans="1:62">
      <c r="A42" s="47">
        <v>24</v>
      </c>
      <c r="B42" s="29">
        <v>0.81</v>
      </c>
      <c r="D42" s="55"/>
      <c r="E42" s="82"/>
      <c r="F42" s="55"/>
      <c r="G42" s="55"/>
      <c r="AD42" s="32"/>
      <c r="AG42" s="97"/>
      <c r="AH42" s="97"/>
      <c r="AI42" s="97"/>
      <c r="AL42" s="97"/>
      <c r="AM42" s="97"/>
      <c r="AO42" s="55"/>
      <c r="AP42" s="32"/>
      <c r="AQ42" s="55"/>
      <c r="AR42" s="55"/>
      <c r="AS42" s="97"/>
      <c r="BH42" s="55"/>
      <c r="BI42" s="55"/>
      <c r="BJ42" s="55"/>
    </row>
    <row r="43" spans="1:62">
      <c r="A43" s="47">
        <v>25</v>
      </c>
      <c r="B43" s="29">
        <v>0.78</v>
      </c>
      <c r="D43" s="55"/>
      <c r="E43" s="82"/>
      <c r="G43" s="55"/>
      <c r="AD43" s="32"/>
      <c r="AG43" s="97"/>
      <c r="AH43" s="97"/>
      <c r="AI43" s="97"/>
      <c r="AL43" s="97"/>
      <c r="AM43" s="97"/>
      <c r="AO43" s="55"/>
      <c r="AP43" s="32"/>
      <c r="AQ43" s="55"/>
      <c r="AR43" s="55"/>
      <c r="AS43" s="97"/>
      <c r="BH43" s="55"/>
      <c r="BI43" s="55"/>
      <c r="BJ43" s="55"/>
    </row>
    <row r="44" spans="1:62">
      <c r="A44" s="47">
        <v>26</v>
      </c>
      <c r="B44" s="29">
        <v>0.83</v>
      </c>
      <c r="D44" s="55"/>
      <c r="E44" s="82"/>
      <c r="F44" s="55"/>
      <c r="G44" s="55"/>
      <c r="AD44" s="32"/>
      <c r="AG44" s="97"/>
      <c r="AH44" s="97"/>
      <c r="AI44" s="97"/>
      <c r="AL44" s="97"/>
      <c r="AM44" s="97"/>
      <c r="AO44" s="55"/>
      <c r="AP44" s="32"/>
      <c r="AQ44" s="55"/>
      <c r="AR44" s="55"/>
      <c r="AS44" s="97"/>
      <c r="BH44" s="55"/>
      <c r="BI44" s="55"/>
      <c r="BJ44" s="55"/>
    </row>
    <row r="45" spans="1:62">
      <c r="A45" s="47">
        <v>27</v>
      </c>
      <c r="B45" s="29">
        <v>0.84</v>
      </c>
      <c r="E45" s="82"/>
      <c r="G45" s="55"/>
      <c r="AD45" s="32"/>
      <c r="AG45" s="97"/>
      <c r="AH45" s="97"/>
      <c r="AI45" s="97"/>
      <c r="AL45" s="97"/>
      <c r="AM45" s="97"/>
      <c r="AO45" s="55"/>
      <c r="AP45" s="32"/>
      <c r="AQ45" s="55"/>
      <c r="AR45" s="55"/>
      <c r="AS45" s="97"/>
      <c r="BH45" s="55"/>
      <c r="BI45" s="55"/>
      <c r="BJ45" s="55"/>
    </row>
    <row r="46" spans="1:62">
      <c r="A46" s="47">
        <v>28</v>
      </c>
      <c r="B46" s="29">
        <v>0.85</v>
      </c>
      <c r="D46" s="55"/>
      <c r="E46" s="82"/>
      <c r="F46" s="55"/>
      <c r="G46" s="55"/>
      <c r="AD46" s="32"/>
      <c r="AG46" s="97"/>
      <c r="AH46" s="97"/>
      <c r="AI46" s="97"/>
      <c r="AL46" s="97"/>
      <c r="AM46" s="97"/>
      <c r="AO46" s="55"/>
      <c r="AP46" s="32"/>
      <c r="AQ46" s="55"/>
      <c r="AR46" s="55"/>
      <c r="AS46" s="97"/>
      <c r="BH46" s="55"/>
      <c r="BI46" s="55"/>
      <c r="BJ46" s="55"/>
    </row>
    <row r="47" spans="1:62">
      <c r="A47" s="47">
        <v>29</v>
      </c>
      <c r="B47" s="29">
        <v>0.8</v>
      </c>
      <c r="D47" s="55"/>
      <c r="E47" s="82"/>
      <c r="G47" s="55"/>
      <c r="AD47" s="32"/>
      <c r="AG47" s="97"/>
      <c r="AH47" s="97"/>
      <c r="AL47" s="97"/>
      <c r="AM47" s="97"/>
      <c r="AO47" s="55"/>
      <c r="AP47" s="32"/>
      <c r="AQ47" s="55"/>
      <c r="AR47" s="55"/>
      <c r="AS47" s="97"/>
      <c r="BH47" s="55"/>
      <c r="BI47" s="55"/>
      <c r="BJ47" s="55"/>
    </row>
    <row r="48" spans="1:62">
      <c r="A48" s="47">
        <v>30</v>
      </c>
      <c r="B48" s="29">
        <v>0.84</v>
      </c>
      <c r="D48" s="55"/>
      <c r="E48" s="82"/>
      <c r="F48" s="55"/>
      <c r="G48" s="55"/>
      <c r="AD48" s="32"/>
      <c r="AG48" s="97"/>
      <c r="AH48" s="97"/>
      <c r="AK48" s="97"/>
      <c r="AL48" s="97"/>
      <c r="AM48" s="97"/>
      <c r="AO48" s="55"/>
      <c r="AP48" s="32"/>
      <c r="AQ48" s="55"/>
      <c r="AR48" s="55"/>
      <c r="AS48" s="97"/>
      <c r="BH48" s="55"/>
      <c r="BI48" s="55"/>
      <c r="BJ48" s="55"/>
    </row>
    <row r="49" spans="1:62">
      <c r="A49" s="47">
        <v>31</v>
      </c>
      <c r="B49" s="29">
        <v>0.82</v>
      </c>
      <c r="D49" s="55"/>
      <c r="E49" s="82"/>
      <c r="G49" s="55"/>
      <c r="AD49" s="32"/>
      <c r="AG49" s="97"/>
      <c r="AH49" s="97"/>
      <c r="AK49" s="97"/>
      <c r="AL49" s="97"/>
      <c r="AM49" s="97"/>
      <c r="AO49" s="55"/>
      <c r="AP49" s="32"/>
      <c r="AQ49" s="55"/>
      <c r="AR49" s="55"/>
      <c r="AS49" s="97"/>
      <c r="BH49" s="55"/>
      <c r="BI49" s="55"/>
      <c r="BJ49" s="55"/>
    </row>
    <row r="50" spans="1:62">
      <c r="A50" s="47">
        <v>32</v>
      </c>
      <c r="B50" s="29">
        <v>0.83</v>
      </c>
      <c r="D50" s="55"/>
      <c r="E50" s="82"/>
      <c r="F50" s="55"/>
      <c r="G50" s="55"/>
      <c r="AD50" s="32"/>
      <c r="AG50" s="97"/>
      <c r="AH50" s="97"/>
      <c r="AK50" s="97"/>
      <c r="AL50" s="97"/>
      <c r="AM50" s="97"/>
      <c r="AO50" s="55"/>
      <c r="AP50" s="32"/>
      <c r="AQ50" s="55"/>
      <c r="AR50" s="55"/>
      <c r="AS50" s="97"/>
      <c r="BH50" s="55"/>
      <c r="BI50" s="55"/>
      <c r="BJ50" s="55"/>
    </row>
    <row r="51" ht="15.75" customHeight="1" spans="1:62">
      <c r="A51" s="47">
        <v>33</v>
      </c>
      <c r="B51" s="29">
        <v>0.81</v>
      </c>
      <c r="D51" s="55"/>
      <c r="E51" s="82"/>
      <c r="G51" s="55"/>
      <c r="AD51" s="32"/>
      <c r="AG51" s="97"/>
      <c r="AH51" s="97"/>
      <c r="AI51" s="31"/>
      <c r="AJ51" s="32"/>
      <c r="AK51" s="97"/>
      <c r="AL51" s="97"/>
      <c r="AM51" s="97"/>
      <c r="AO51" s="55"/>
      <c r="AP51" s="32"/>
      <c r="AQ51" s="55"/>
      <c r="AR51" s="55"/>
      <c r="AS51" s="97"/>
      <c r="BH51" s="55"/>
      <c r="BI51" s="55"/>
      <c r="BJ51" s="55"/>
    </row>
    <row r="52" spans="1:62">
      <c r="A52" s="47">
        <v>34</v>
      </c>
      <c r="B52" s="29">
        <v>0.83</v>
      </c>
      <c r="D52" s="55"/>
      <c r="E52" s="82"/>
      <c r="F52" s="55"/>
      <c r="G52" s="55"/>
      <c r="AD52" s="32"/>
      <c r="AG52" s="97"/>
      <c r="AH52" s="97"/>
      <c r="AK52" s="97"/>
      <c r="AL52" s="97"/>
      <c r="AM52" s="97"/>
      <c r="AO52" s="55"/>
      <c r="AP52" s="32"/>
      <c r="AQ52" s="55"/>
      <c r="AR52" s="55"/>
      <c r="AS52" s="97"/>
      <c r="BH52" s="55"/>
      <c r="BI52" s="55"/>
      <c r="BJ52" s="55"/>
    </row>
    <row r="53" spans="1:62">
      <c r="A53" s="47">
        <v>35</v>
      </c>
      <c r="B53" s="29">
        <v>0.78</v>
      </c>
      <c r="D53" s="55"/>
      <c r="E53" s="82"/>
      <c r="G53" s="55"/>
      <c r="Q53" s="109"/>
      <c r="X53" s="109"/>
      <c r="Y53" s="109"/>
      <c r="Z53" s="109"/>
      <c r="AA53" s="109"/>
      <c r="AB53" s="109"/>
      <c r="AD53" s="32"/>
      <c r="AG53" s="97"/>
      <c r="AH53" s="97"/>
      <c r="AI53" s="32"/>
      <c r="AJ53" s="32"/>
      <c r="AK53" s="31"/>
      <c r="AL53" s="97"/>
      <c r="AM53" s="97"/>
      <c r="AO53" s="55"/>
      <c r="AP53" s="32"/>
      <c r="AQ53" s="55"/>
      <c r="AR53" s="55"/>
      <c r="AS53" s="97"/>
      <c r="BH53" s="55"/>
      <c r="BI53" s="55"/>
      <c r="BJ53" s="55"/>
    </row>
    <row r="54" spans="1:62">
      <c r="A54" s="47">
        <v>36</v>
      </c>
      <c r="B54" s="29">
        <v>0.81</v>
      </c>
      <c r="D54" s="55"/>
      <c r="E54" s="82"/>
      <c r="F54" s="55"/>
      <c r="G54" s="55"/>
      <c r="AD54" s="32"/>
      <c r="AG54" s="97"/>
      <c r="AH54" s="97"/>
      <c r="AJ54" s="32"/>
      <c r="AK54" s="31"/>
      <c r="AL54" s="97"/>
      <c r="AM54" s="97"/>
      <c r="AO54" s="55"/>
      <c r="AP54" s="32"/>
      <c r="AQ54" s="55"/>
      <c r="AR54" s="55"/>
      <c r="AS54" s="97"/>
      <c r="BH54" s="55"/>
      <c r="BI54" s="55"/>
      <c r="BJ54" s="55"/>
    </row>
    <row r="55" ht="29.25" customHeight="1" spans="1:62">
      <c r="A55" s="47">
        <v>37</v>
      </c>
      <c r="B55" s="29">
        <v>0.82</v>
      </c>
      <c r="D55" s="55"/>
      <c r="E55" s="82"/>
      <c r="G55" s="55"/>
      <c r="AD55" s="32"/>
      <c r="AG55" s="97"/>
      <c r="AH55" s="97"/>
      <c r="AJ55" s="32"/>
      <c r="AK55" s="32"/>
      <c r="AL55" s="97"/>
      <c r="AM55" s="97"/>
      <c r="AO55" s="55"/>
      <c r="AP55" s="32"/>
      <c r="AQ55" s="55"/>
      <c r="AR55" s="55"/>
      <c r="AS55" s="97"/>
      <c r="BH55" s="55"/>
      <c r="BI55" s="55"/>
      <c r="BJ55" s="55"/>
    </row>
    <row r="56" ht="45" customHeight="1" spans="1:62">
      <c r="A56" s="47">
        <v>38</v>
      </c>
      <c r="B56" s="29">
        <v>0.82</v>
      </c>
      <c r="D56" s="55"/>
      <c r="E56" s="82"/>
      <c r="F56" s="55"/>
      <c r="G56" s="55"/>
      <c r="AD56" s="32"/>
      <c r="AG56" s="97"/>
      <c r="AH56" s="97"/>
      <c r="AI56" s="97"/>
      <c r="AJ56" s="97"/>
      <c r="AK56" s="97"/>
      <c r="AL56" s="97"/>
      <c r="AM56" s="97"/>
      <c r="AO56" s="55"/>
      <c r="AP56" s="32"/>
      <c r="AQ56" s="55"/>
      <c r="AR56" s="55"/>
      <c r="AS56" s="97"/>
      <c r="BH56" s="55"/>
      <c r="BI56" s="55"/>
      <c r="BJ56" s="55"/>
    </row>
    <row r="57" ht="24.75" customHeight="1" spans="1:62">
      <c r="A57" s="47">
        <v>39</v>
      </c>
      <c r="B57" s="29">
        <v>0.82</v>
      </c>
      <c r="AD57" s="32"/>
      <c r="AG57" s="97"/>
      <c r="AH57" s="97"/>
      <c r="AI57" s="97"/>
      <c r="AJ57" s="97"/>
      <c r="AK57" s="97"/>
      <c r="AL57" s="97"/>
      <c r="AM57" s="97"/>
      <c r="AN57" s="97"/>
      <c r="AO57" s="55"/>
      <c r="AP57" s="32"/>
      <c r="AQ57" s="55"/>
      <c r="AR57" s="55"/>
      <c r="AS57" s="97"/>
      <c r="BH57" s="55"/>
      <c r="BI57" s="55"/>
      <c r="BJ57" s="55"/>
    </row>
    <row r="58" spans="1:62">
      <c r="A58" s="47">
        <v>40</v>
      </c>
      <c r="B58" s="29">
        <v>0.8</v>
      </c>
      <c r="AD58" s="32"/>
      <c r="AG58" s="97"/>
      <c r="AH58" s="97"/>
      <c r="AI58" s="97"/>
      <c r="AJ58" s="97"/>
      <c r="AK58" s="97"/>
      <c r="AL58" s="97"/>
      <c r="AM58" s="97"/>
      <c r="AN58" s="97"/>
      <c r="AO58" s="55"/>
      <c r="AP58" s="32"/>
      <c r="AQ58" s="55"/>
      <c r="AR58" s="55"/>
      <c r="AS58" s="97"/>
      <c r="BH58" s="55"/>
      <c r="BI58" s="55"/>
      <c r="BJ58" s="55"/>
    </row>
    <row r="59" spans="1:62">
      <c r="A59" s="47">
        <v>41</v>
      </c>
      <c r="B59" s="29">
        <v>0.82</v>
      </c>
      <c r="O59" s="107" t="s">
        <v>171</v>
      </c>
      <c r="P59" s="55">
        <f>K32+R59/2</f>
        <v>0.8505</v>
      </c>
      <c r="Q59" s="32" t="s">
        <v>172</v>
      </c>
      <c r="R59" s="55">
        <f>L10</f>
        <v>0.001</v>
      </c>
      <c r="AD59" s="32"/>
      <c r="AG59" s="97"/>
      <c r="AH59" s="97"/>
      <c r="AI59" s="97"/>
      <c r="AJ59" s="97"/>
      <c r="AK59" s="97"/>
      <c r="AL59" s="97"/>
      <c r="AM59" s="97"/>
      <c r="AN59" s="97"/>
      <c r="AO59" s="55"/>
      <c r="AP59" s="32"/>
      <c r="AQ59" s="55"/>
      <c r="AR59" s="55"/>
      <c r="AS59" s="97"/>
      <c r="BH59" s="55"/>
      <c r="BI59" s="55"/>
      <c r="BJ59" s="55"/>
    </row>
    <row r="60" spans="1:62">
      <c r="A60" s="47">
        <v>42</v>
      </c>
      <c r="B60" s="29">
        <v>0.83</v>
      </c>
      <c r="O60" s="107" t="s">
        <v>173</v>
      </c>
      <c r="P60" s="108">
        <f>I37</f>
        <v>0.880502379803938</v>
      </c>
      <c r="Q60" s="32" t="s">
        <v>174</v>
      </c>
      <c r="R60" s="55" t="e">
        <f>K32-L11</f>
        <v>#VALUE!</v>
      </c>
      <c r="AC60" s="31"/>
      <c r="AD60" s="32"/>
      <c r="AG60" s="97"/>
      <c r="AH60" s="97"/>
      <c r="AI60" s="97"/>
      <c r="AJ60" s="97"/>
      <c r="AK60" s="97"/>
      <c r="AL60" s="97"/>
      <c r="AM60" s="97"/>
      <c r="AN60" s="97"/>
      <c r="AO60" s="55"/>
      <c r="AP60" s="32"/>
      <c r="AQ60" s="55"/>
      <c r="AR60" s="55"/>
      <c r="AS60" s="97"/>
      <c r="BH60" s="55"/>
      <c r="BI60" s="55"/>
      <c r="BJ60" s="55"/>
    </row>
    <row r="61" spans="1:62">
      <c r="A61" s="47">
        <v>43</v>
      </c>
      <c r="B61" s="29">
        <v>0.82</v>
      </c>
      <c r="O61" s="107" t="s">
        <v>175</v>
      </c>
      <c r="P61" s="55">
        <f>I8</f>
        <v>0.88</v>
      </c>
      <c r="Q61" s="32" t="s">
        <v>176</v>
      </c>
      <c r="R61" s="55" t="e">
        <f>H32-L11</f>
        <v>#VALUE!</v>
      </c>
      <c r="T61" s="55">
        <f>(SQRT(M32)+(LOG(M32)*3.3+1))/2</f>
        <v>6.83883441308717</v>
      </c>
      <c r="AD61" s="32"/>
      <c r="AG61" s="97"/>
      <c r="AH61" s="97"/>
      <c r="AI61" s="97"/>
      <c r="AJ61" s="97"/>
      <c r="AK61" s="97"/>
      <c r="AL61" s="97"/>
      <c r="AM61" s="97"/>
      <c r="AN61" s="97"/>
      <c r="AO61" s="55"/>
      <c r="AP61" s="32"/>
      <c r="AQ61" s="55"/>
      <c r="AR61" s="55"/>
      <c r="AS61" s="97"/>
      <c r="BH61" s="55"/>
      <c r="BI61" s="55"/>
      <c r="BJ61" s="55"/>
    </row>
    <row r="62" spans="1:62">
      <c r="A62" s="47">
        <v>44</v>
      </c>
      <c r="B62" s="29">
        <v>0.82</v>
      </c>
      <c r="O62" s="107" t="s">
        <v>177</v>
      </c>
      <c r="P62" s="55">
        <f>TRUNC(H32-R59/2,10)</f>
        <v>0.7395</v>
      </c>
      <c r="Q62" s="32" t="s">
        <v>178</v>
      </c>
      <c r="R62" s="55" t="e">
        <f>((R60-R61)/R59)+1</f>
        <v>#VALUE!</v>
      </c>
      <c r="S62" s="110" t="s">
        <v>179</v>
      </c>
      <c r="T62" s="55">
        <f>TRUNC(T61)</f>
        <v>6</v>
      </c>
      <c r="AC62" s="32"/>
      <c r="AD62" s="32"/>
      <c r="AG62" s="97"/>
      <c r="AH62" s="97"/>
      <c r="AI62" s="97"/>
      <c r="AJ62" s="97"/>
      <c r="AK62" s="97"/>
      <c r="AL62" s="97"/>
      <c r="AM62" s="97"/>
      <c r="AN62" s="97"/>
      <c r="AO62" s="55"/>
      <c r="AP62" s="32"/>
      <c r="AQ62" s="55"/>
      <c r="AR62" s="55"/>
      <c r="AS62" s="97"/>
      <c r="BH62" s="55"/>
      <c r="BI62" s="55"/>
      <c r="BJ62" s="55"/>
    </row>
    <row r="63" spans="1:62">
      <c r="A63" s="47">
        <v>45</v>
      </c>
      <c r="B63" s="29">
        <v>0.81</v>
      </c>
      <c r="O63" s="107" t="s">
        <v>180</v>
      </c>
      <c r="P63" s="108">
        <f>G37</f>
        <v>0.757097620196062</v>
      </c>
      <c r="Q63" s="32" t="s">
        <v>181</v>
      </c>
      <c r="R63" s="55" t="e">
        <f>IF(OR(T63&lt;0.5,(T63-TRUNC(T63))&gt;=0.5),TRUNC(T63)+1,TRUNC(T63))</f>
        <v>#VALUE!</v>
      </c>
      <c r="S63" s="111" t="s">
        <v>182</v>
      </c>
      <c r="T63" s="55" t="e">
        <f>R62/T62</f>
        <v>#VALUE!</v>
      </c>
      <c r="AD63" s="32"/>
      <c r="AG63" s="97"/>
      <c r="AH63" s="97"/>
      <c r="AI63" s="97"/>
      <c r="AJ63" s="97"/>
      <c r="AK63" s="97"/>
      <c r="AL63" s="97"/>
      <c r="AM63" s="97"/>
      <c r="AN63" s="97"/>
      <c r="AO63" s="55"/>
      <c r="AP63" s="32"/>
      <c r="AQ63" s="55"/>
      <c r="AR63" s="55"/>
      <c r="AS63" s="97"/>
      <c r="BH63" s="55"/>
      <c r="BI63" s="55"/>
      <c r="BJ63" s="55"/>
    </row>
    <row r="64" spans="1:62">
      <c r="A64" s="47">
        <v>46</v>
      </c>
      <c r="B64" s="29">
        <v>0.82</v>
      </c>
      <c r="O64" s="107" t="s">
        <v>183</v>
      </c>
      <c r="P64" s="55">
        <f>I9</f>
        <v>0.72</v>
      </c>
      <c r="Q64" s="112" t="s">
        <v>184</v>
      </c>
      <c r="R64" s="55" t="e">
        <f>IF(((R60-R61)/(+R59*R63))&gt;T62,R59*(R63+1),R59*R63)</f>
        <v>#VALUE!</v>
      </c>
      <c r="AD64" s="32"/>
      <c r="AG64" s="97"/>
      <c r="AH64" s="97"/>
      <c r="AI64" s="97"/>
      <c r="AJ64" s="97"/>
      <c r="AK64" s="97"/>
      <c r="AL64" s="97"/>
      <c r="AM64" s="97"/>
      <c r="AN64" s="97"/>
      <c r="AO64" s="55"/>
      <c r="AP64" s="32"/>
      <c r="AQ64" s="55"/>
      <c r="AR64" s="55"/>
      <c r="BH64" s="55"/>
      <c r="BI64" s="55"/>
      <c r="BJ64" s="55"/>
    </row>
    <row r="65" spans="1:62">
      <c r="A65" s="47">
        <v>47</v>
      </c>
      <c r="B65" s="29">
        <v>0.82</v>
      </c>
      <c r="O65" s="107" t="s">
        <v>185</v>
      </c>
      <c r="P65" s="55">
        <f>IF(B12=3,MINA(P62:P63),MINA(P62:P64))</f>
        <v>0.72</v>
      </c>
      <c r="Q65" s="29" t="e">
        <f>INT((P62-P65)/R64)+1</f>
        <v>#VALUE!</v>
      </c>
      <c r="R65" s="107" t="e">
        <f>(P62-P65)/R64</f>
        <v>#VALUE!</v>
      </c>
      <c r="S65" s="107"/>
      <c r="T65" s="107"/>
      <c r="U65" s="107"/>
      <c r="V65" s="55">
        <f>IF(AND($I$9&gt;=$E$32,$I$9&lt;=($E$32+6*$E$33)),$I$9,$E$32-6*$E$33)</f>
        <v>0.695395240392125</v>
      </c>
      <c r="W65" s="55"/>
      <c r="AD65" s="32"/>
      <c r="AG65" s="97"/>
      <c r="AH65" s="97"/>
      <c r="AI65" s="97"/>
      <c r="AJ65" s="97"/>
      <c r="AK65" s="97"/>
      <c r="AL65" s="97"/>
      <c r="AM65" s="97"/>
      <c r="AN65" s="97"/>
      <c r="AO65" s="55"/>
      <c r="AP65" s="32"/>
      <c r="AQ65" s="55"/>
      <c r="AR65" s="55"/>
      <c r="BH65" s="55"/>
      <c r="BI65" s="55"/>
      <c r="BJ65" s="55"/>
    </row>
    <row r="66" spans="1:62">
      <c r="A66" s="47">
        <v>48</v>
      </c>
      <c r="B66" s="29">
        <v>0.82</v>
      </c>
      <c r="O66" s="107" t="s">
        <v>186</v>
      </c>
      <c r="P66" s="55">
        <f>MAXA(P59:P61)</f>
        <v>0.880502379803938</v>
      </c>
      <c r="Q66" s="29" t="e">
        <f>(P66-P65)/R64</f>
        <v>#VALUE!</v>
      </c>
      <c r="R66" s="107"/>
      <c r="S66" s="107"/>
      <c r="U66" s="107"/>
      <c r="V66" s="55">
        <f>IF(AND($I$9&gt;=$E$32,$I$9&lt;=($E$32+6*$E$33)),$E$32+6*$E$33,$I$9)</f>
        <v>0.72</v>
      </c>
      <c r="W66" s="55"/>
      <c r="AC66" s="32"/>
      <c r="AD66" s="32"/>
      <c r="AG66" s="97"/>
      <c r="AH66" s="97"/>
      <c r="AI66" s="97"/>
      <c r="AJ66" s="97"/>
      <c r="AK66" s="97"/>
      <c r="AL66" s="97"/>
      <c r="AM66" s="97"/>
      <c r="AN66" s="97"/>
      <c r="AO66" s="55"/>
      <c r="AP66" s="32"/>
      <c r="AQ66" s="55"/>
      <c r="AR66" s="55"/>
      <c r="BH66" s="55"/>
      <c r="BI66" s="55"/>
      <c r="BJ66" s="55"/>
    </row>
    <row r="67" spans="1:62">
      <c r="A67" s="47">
        <v>49</v>
      </c>
      <c r="B67" s="29">
        <v>0.84</v>
      </c>
      <c r="O67" s="107" t="s">
        <v>187</v>
      </c>
      <c r="P67" s="55">
        <f>(P66-P65)/50</f>
        <v>0.00321004759607875</v>
      </c>
      <c r="Q67" s="29" t="e">
        <f>IF(Q66&lt;=12,1,IF(AND(12&lt;Q66,Q66&lt;=24),2,IF(AND(24&lt;Q66,Q66&lt;=48),3,IF(AND(48&lt;Q66,Q66&lt;=96),4,5))))</f>
        <v>#VALUE!</v>
      </c>
      <c r="R67" s="107"/>
      <c r="S67" s="107"/>
      <c r="U67" s="107"/>
      <c r="V67" s="55">
        <f>(V66-V65)/50</f>
        <v>0.000492095192157507</v>
      </c>
      <c r="W67" s="55"/>
      <c r="AD67" s="32"/>
      <c r="AG67" s="97"/>
      <c r="AH67" s="97"/>
      <c r="AI67" s="97"/>
      <c r="AJ67" s="97"/>
      <c r="AK67" s="97"/>
      <c r="AL67" s="97"/>
      <c r="AM67" s="97"/>
      <c r="AN67" s="97"/>
      <c r="AO67" s="55"/>
      <c r="AP67" s="32"/>
      <c r="AQ67" s="55"/>
      <c r="AR67" s="55"/>
      <c r="BH67" s="55"/>
      <c r="BI67" s="55"/>
      <c r="BJ67" s="55"/>
    </row>
    <row r="68" spans="1:62">
      <c r="A68" s="47">
        <v>50</v>
      </c>
      <c r="B68" s="29">
        <v>0.83</v>
      </c>
      <c r="L68" s="29" t="e">
        <f>(P70-P69)/4</f>
        <v>#VALUE!</v>
      </c>
      <c r="Z68" s="29" t="e">
        <f>IF(B12=3,0,Z69+ABS(V69-V70))</f>
        <v>#VALUE!</v>
      </c>
      <c r="AA68" s="29" t="e">
        <f>IF(B12=4,0,AA69+ABS(V69-V70))</f>
        <v>#VALUE!</v>
      </c>
      <c r="AD68" s="32"/>
      <c r="AG68" s="97"/>
      <c r="AH68" s="97"/>
      <c r="AI68" s="97"/>
      <c r="AJ68" s="97"/>
      <c r="AK68" s="97"/>
      <c r="AL68" s="97"/>
      <c r="AM68" s="97"/>
      <c r="AN68" s="97"/>
      <c r="AO68" s="55"/>
      <c r="AP68" s="32"/>
      <c r="AQ68" s="55"/>
      <c r="AR68" s="55"/>
      <c r="BH68" s="55"/>
      <c r="BI68" s="55"/>
      <c r="BJ68" s="55"/>
    </row>
    <row r="69" spans="1:62">
      <c r="A69" s="47">
        <v>51</v>
      </c>
      <c r="L69" s="114" t="e">
        <f>P69</f>
        <v>#VALUE!</v>
      </c>
      <c r="M69" s="29" t="e">
        <f t="shared" ref="M69:M100" si="0">IF(N69&lt;0," ",N69)</f>
        <v>#VALUE!</v>
      </c>
      <c r="N69" s="55" t="e">
        <f t="shared" ref="N69:N100" si="1">(0.39894228/$E$33)*EXP(-((L69-$E$32)^2)/(2*$E$33^2))*(1-0.5*$L$36*((L69-$E$32)/$E$33-(L69-$E$32)^3/(3*$E$33^3)))</f>
        <v>#VALUE!</v>
      </c>
      <c r="O69" s="55">
        <v>0</v>
      </c>
      <c r="P69" s="82" t="e">
        <f>P62-Q65*R64</f>
        <v>#VALUE!</v>
      </c>
      <c r="Q69" s="55" t="e">
        <f t="shared" ref="Q69:Q100" si="2">(0.39894228/$E$33)*EXP(-((P69-$E$32)^2)/(2*$E$33^2))</f>
        <v>#VALUE!</v>
      </c>
      <c r="R69" s="55"/>
      <c r="S69" s="115" t="e">
        <f t="shared" ref="S69:S100" si="3">IF(AND(V69&lt;0,U69+$S$118=2),FIXED(V69,5),IF(U69+$S$118=2,FIXED(V69,6),IF(U69+$S$118=3,FIXED(V69,5),IF(U69+$S$118=4,FIXED(V69,4),IF(U69+$S$118=5,FIXED(V69,3),IF(U69+$S$118=6,FIXED(V69,2)," "))))))</f>
        <v>#VALUE!</v>
      </c>
      <c r="T69" s="55" t="e">
        <f t="shared" ref="T69:T100" si="4">IF($Q$67+U69=2,SUM(Y69:Y72),IF($Q$67+U69=3,SUM(Y69:Y70),IF($Q$67+U69&gt;=4,Y69,T68)))</f>
        <v>#VALUE!</v>
      </c>
      <c r="U69" s="55" t="e">
        <f t="shared" ref="U69:U100" si="5">IF(ROUND((V69-$P$62)/$R$64,4)=ROUND((V69-$P$62)/$R$64,0),1,-100)</f>
        <v>#VALUE!</v>
      </c>
      <c r="V69" s="82" t="e">
        <f t="shared" ref="V69:V100" si="6">TRUNC(P69,10)</f>
        <v>#VALUE!</v>
      </c>
      <c r="W69" s="82" t="e">
        <f t="shared" ref="W69:W100" si="7">V69-$L$11</f>
        <v>#VALUE!</v>
      </c>
      <c r="X69" s="55">
        <f t="shared" ref="X69:X100" si="8">FREQUENCY($B$19:$B$218,W69)</f>
        <v>0</v>
      </c>
      <c r="Y69" s="55">
        <f>IF(X69&gt;0,X70,X70-X69)</f>
        <v>0</v>
      </c>
      <c r="Z69" s="55" t="e">
        <f t="shared" ref="Z69:Z100" si="9">IF($B$12=3,0,ABS(V69-$P$64))</f>
        <v>#VALUE!</v>
      </c>
      <c r="AA69" s="55" t="e">
        <f t="shared" ref="AA69:AA100" si="10">IF($B$12=4,0,ABS(V69-$P$61))</f>
        <v>#VALUE!</v>
      </c>
      <c r="AB69" s="55" t="e">
        <f t="shared" ref="AB69:AB100" si="11">IF(OR(AND(Z69&lt;Z68,Z69&lt;=Z70),AND(AA69&lt;AA68,AA69&lt;=AA70)),1,0)</f>
        <v>#VALUE!</v>
      </c>
      <c r="AD69" s="116"/>
      <c r="AG69" s="97"/>
      <c r="AH69" s="97"/>
      <c r="AI69" s="97"/>
      <c r="AJ69" s="97"/>
      <c r="AK69" s="97"/>
      <c r="AL69" s="97"/>
      <c r="AM69" s="97"/>
      <c r="AN69" s="97"/>
      <c r="AO69" s="55"/>
      <c r="AP69" s="32"/>
      <c r="AQ69" s="55"/>
      <c r="AR69" s="55"/>
      <c r="BH69" s="55"/>
      <c r="BI69" s="55"/>
      <c r="BJ69" s="55"/>
    </row>
    <row r="70" spans="1:62">
      <c r="A70" s="47">
        <v>52</v>
      </c>
      <c r="L70" s="114" t="e">
        <f t="shared" ref="L70:L101" si="12">L69+$L$68</f>
        <v>#VALUE!</v>
      </c>
      <c r="M70" s="29" t="e">
        <f t="shared" si="0"/>
        <v>#VALUE!</v>
      </c>
      <c r="N70" s="55" t="e">
        <f t="shared" si="1"/>
        <v>#VALUE!</v>
      </c>
      <c r="O70" s="55">
        <v>1</v>
      </c>
      <c r="P70" s="82" t="e">
        <f t="shared" ref="P70:P117" si="13">IF($Q$67=1,P69+$R$64/4,IF($Q$67=2,P69+$R$64/2,IF($Q$67=3,P69+$R$64,IF($Q$67=4,P69+$R$64*2,P69+$R$64*4))))</f>
        <v>#VALUE!</v>
      </c>
      <c r="Q70" s="55" t="e">
        <f t="shared" si="2"/>
        <v>#VALUE!</v>
      </c>
      <c r="R70" s="55"/>
      <c r="S70" s="115" t="e">
        <f t="shared" si="3"/>
        <v>#VALUE!</v>
      </c>
      <c r="T70" s="55" t="e">
        <f t="shared" si="4"/>
        <v>#VALUE!</v>
      </c>
      <c r="U70" s="55" t="e">
        <f t="shared" si="5"/>
        <v>#VALUE!</v>
      </c>
      <c r="V70" s="82" t="e">
        <f t="shared" si="6"/>
        <v>#VALUE!</v>
      </c>
      <c r="W70" s="82" t="e">
        <f t="shared" si="7"/>
        <v>#VALUE!</v>
      </c>
      <c r="X70" s="55">
        <f t="shared" si="8"/>
        <v>0</v>
      </c>
      <c r="Y70" s="55">
        <f t="shared" ref="Y70:Y117" si="14">X71-X70</f>
        <v>0</v>
      </c>
      <c r="Z70" s="55" t="e">
        <f t="shared" si="9"/>
        <v>#VALUE!</v>
      </c>
      <c r="AA70" s="55" t="e">
        <f t="shared" si="10"/>
        <v>#VALUE!</v>
      </c>
      <c r="AB70" s="55" t="e">
        <f t="shared" si="11"/>
        <v>#VALUE!</v>
      </c>
      <c r="AD70" s="32"/>
      <c r="AG70" s="97"/>
      <c r="AH70" s="97"/>
      <c r="AI70" s="97"/>
      <c r="AJ70" s="97"/>
      <c r="AK70" s="97"/>
      <c r="AL70" s="97"/>
      <c r="AM70" s="97"/>
      <c r="AN70" s="97"/>
      <c r="AO70" s="55"/>
      <c r="AP70" s="32"/>
      <c r="AQ70" s="55"/>
      <c r="AR70" s="55"/>
      <c r="BH70" s="55"/>
      <c r="BI70" s="55"/>
      <c r="BJ70" s="55"/>
    </row>
    <row r="71" spans="1:62">
      <c r="A71" s="47">
        <v>53</v>
      </c>
      <c r="L71" s="114" t="e">
        <f t="shared" si="12"/>
        <v>#VALUE!</v>
      </c>
      <c r="M71" s="29" t="e">
        <f t="shared" si="0"/>
        <v>#VALUE!</v>
      </c>
      <c r="N71" s="55" t="e">
        <f t="shared" si="1"/>
        <v>#VALUE!</v>
      </c>
      <c r="O71" s="55">
        <v>2</v>
      </c>
      <c r="P71" s="82" t="e">
        <f t="shared" si="13"/>
        <v>#VALUE!</v>
      </c>
      <c r="Q71" s="55" t="e">
        <f t="shared" si="2"/>
        <v>#VALUE!</v>
      </c>
      <c r="R71" s="55"/>
      <c r="S71" s="115" t="e">
        <f t="shared" si="3"/>
        <v>#VALUE!</v>
      </c>
      <c r="T71" s="55" t="e">
        <f t="shared" si="4"/>
        <v>#VALUE!</v>
      </c>
      <c r="U71" s="55" t="e">
        <f t="shared" si="5"/>
        <v>#VALUE!</v>
      </c>
      <c r="V71" s="82" t="e">
        <f t="shared" si="6"/>
        <v>#VALUE!</v>
      </c>
      <c r="W71" s="82" t="e">
        <f t="shared" si="7"/>
        <v>#VALUE!</v>
      </c>
      <c r="X71" s="55">
        <f t="shared" si="8"/>
        <v>0</v>
      </c>
      <c r="Y71" s="55">
        <f t="shared" si="14"/>
        <v>0</v>
      </c>
      <c r="Z71" s="55" t="e">
        <f t="shared" si="9"/>
        <v>#VALUE!</v>
      </c>
      <c r="AA71" s="55" t="e">
        <f t="shared" si="10"/>
        <v>#VALUE!</v>
      </c>
      <c r="AB71" s="55" t="e">
        <f t="shared" si="11"/>
        <v>#VALUE!</v>
      </c>
      <c r="AD71" s="32"/>
      <c r="AG71" s="97"/>
      <c r="AH71" s="97"/>
      <c r="AI71" s="97"/>
      <c r="AJ71" s="97"/>
      <c r="AK71" s="97"/>
      <c r="AL71" s="97"/>
      <c r="AM71" s="97"/>
      <c r="AN71" s="97"/>
      <c r="AO71" s="55"/>
      <c r="AP71" s="32"/>
      <c r="AQ71" s="55"/>
      <c r="AR71" s="55"/>
      <c r="BH71" s="55"/>
      <c r="BI71" s="55"/>
      <c r="BJ71" s="55"/>
    </row>
    <row r="72" spans="1:62">
      <c r="A72" s="47">
        <v>54</v>
      </c>
      <c r="L72" s="114" t="e">
        <f t="shared" si="12"/>
        <v>#VALUE!</v>
      </c>
      <c r="M72" s="29" t="e">
        <f t="shared" si="0"/>
        <v>#VALUE!</v>
      </c>
      <c r="N72" s="55" t="e">
        <f t="shared" si="1"/>
        <v>#VALUE!</v>
      </c>
      <c r="O72" s="55">
        <v>3</v>
      </c>
      <c r="P72" s="82" t="e">
        <f t="shared" si="13"/>
        <v>#VALUE!</v>
      </c>
      <c r="Q72" s="55" t="e">
        <f t="shared" si="2"/>
        <v>#VALUE!</v>
      </c>
      <c r="R72" s="55"/>
      <c r="S72" s="115" t="e">
        <f t="shared" si="3"/>
        <v>#VALUE!</v>
      </c>
      <c r="T72" s="55" t="e">
        <f t="shared" si="4"/>
        <v>#VALUE!</v>
      </c>
      <c r="U72" s="55" t="e">
        <f t="shared" si="5"/>
        <v>#VALUE!</v>
      </c>
      <c r="V72" s="82" t="e">
        <f t="shared" si="6"/>
        <v>#VALUE!</v>
      </c>
      <c r="W72" s="82" t="e">
        <f t="shared" si="7"/>
        <v>#VALUE!</v>
      </c>
      <c r="X72" s="55">
        <f t="shared" si="8"/>
        <v>0</v>
      </c>
      <c r="Y72" s="55">
        <f t="shared" si="14"/>
        <v>0</v>
      </c>
      <c r="Z72" s="55" t="e">
        <f t="shared" si="9"/>
        <v>#VALUE!</v>
      </c>
      <c r="AA72" s="55" t="e">
        <f t="shared" si="10"/>
        <v>#VALUE!</v>
      </c>
      <c r="AB72" s="55" t="e">
        <f t="shared" si="11"/>
        <v>#VALUE!</v>
      </c>
      <c r="AD72" s="32"/>
      <c r="AG72" s="97"/>
      <c r="AH72" s="97"/>
      <c r="AI72" s="97"/>
      <c r="AJ72" s="97"/>
      <c r="AK72" s="97"/>
      <c r="AL72" s="97"/>
      <c r="AM72" s="97"/>
      <c r="AN72" s="97"/>
      <c r="AO72" s="55"/>
      <c r="AP72" s="32"/>
      <c r="AQ72" s="55"/>
      <c r="AR72" s="55"/>
      <c r="BH72" s="55"/>
      <c r="BI72" s="55"/>
      <c r="BJ72" s="55"/>
    </row>
    <row r="73" spans="1:62">
      <c r="A73" s="47">
        <v>55</v>
      </c>
      <c r="L73" s="114" t="e">
        <f t="shared" si="12"/>
        <v>#VALUE!</v>
      </c>
      <c r="M73" s="29" t="e">
        <f t="shared" si="0"/>
        <v>#VALUE!</v>
      </c>
      <c r="N73" s="55" t="e">
        <f t="shared" si="1"/>
        <v>#VALUE!</v>
      </c>
      <c r="O73" s="55">
        <v>4</v>
      </c>
      <c r="P73" s="82" t="e">
        <f t="shared" si="13"/>
        <v>#VALUE!</v>
      </c>
      <c r="Q73" s="55" t="e">
        <f t="shared" si="2"/>
        <v>#VALUE!</v>
      </c>
      <c r="R73" s="55"/>
      <c r="S73" s="115" t="e">
        <f t="shared" si="3"/>
        <v>#VALUE!</v>
      </c>
      <c r="T73" s="55" t="e">
        <f t="shared" si="4"/>
        <v>#VALUE!</v>
      </c>
      <c r="U73" s="55" t="e">
        <f t="shared" si="5"/>
        <v>#VALUE!</v>
      </c>
      <c r="V73" s="82" t="e">
        <f t="shared" si="6"/>
        <v>#VALUE!</v>
      </c>
      <c r="W73" s="82" t="e">
        <f t="shared" si="7"/>
        <v>#VALUE!</v>
      </c>
      <c r="X73" s="55">
        <f t="shared" si="8"/>
        <v>0</v>
      </c>
      <c r="Y73" s="55">
        <f t="shared" si="14"/>
        <v>0</v>
      </c>
      <c r="Z73" s="55" t="e">
        <f t="shared" si="9"/>
        <v>#VALUE!</v>
      </c>
      <c r="AA73" s="55" t="e">
        <f t="shared" si="10"/>
        <v>#VALUE!</v>
      </c>
      <c r="AB73" s="55" t="e">
        <f t="shared" si="11"/>
        <v>#VALUE!</v>
      </c>
      <c r="AD73" s="32"/>
      <c r="AG73" s="97"/>
      <c r="AH73" s="97"/>
      <c r="AI73" s="97"/>
      <c r="AJ73" s="97"/>
      <c r="AK73" s="97"/>
      <c r="AL73" s="97"/>
      <c r="AM73" s="97"/>
      <c r="AN73" s="97"/>
      <c r="AO73" s="55"/>
      <c r="AP73" s="32"/>
      <c r="AQ73" s="55"/>
      <c r="AR73" s="55"/>
      <c r="BH73" s="55"/>
      <c r="BI73" s="55"/>
      <c r="BJ73" s="55"/>
    </row>
    <row r="74" spans="1:62">
      <c r="A74" s="47">
        <v>56</v>
      </c>
      <c r="L74" s="114" t="e">
        <f t="shared" si="12"/>
        <v>#VALUE!</v>
      </c>
      <c r="M74" s="29" t="e">
        <f t="shared" si="0"/>
        <v>#VALUE!</v>
      </c>
      <c r="N74" s="55" t="e">
        <f t="shared" si="1"/>
        <v>#VALUE!</v>
      </c>
      <c r="O74" s="55">
        <v>5</v>
      </c>
      <c r="P74" s="82" t="e">
        <f t="shared" si="13"/>
        <v>#VALUE!</v>
      </c>
      <c r="Q74" s="55" t="e">
        <f t="shared" si="2"/>
        <v>#VALUE!</v>
      </c>
      <c r="R74" s="55"/>
      <c r="S74" s="115" t="e">
        <f t="shared" si="3"/>
        <v>#VALUE!</v>
      </c>
      <c r="T74" s="55" t="e">
        <f t="shared" si="4"/>
        <v>#VALUE!</v>
      </c>
      <c r="U74" s="55" t="e">
        <f t="shared" si="5"/>
        <v>#VALUE!</v>
      </c>
      <c r="V74" s="82" t="e">
        <f t="shared" si="6"/>
        <v>#VALUE!</v>
      </c>
      <c r="W74" s="82" t="e">
        <f t="shared" si="7"/>
        <v>#VALUE!</v>
      </c>
      <c r="X74" s="55">
        <f t="shared" si="8"/>
        <v>0</v>
      </c>
      <c r="Y74" s="55">
        <f t="shared" si="14"/>
        <v>0</v>
      </c>
      <c r="Z74" s="55" t="e">
        <f t="shared" si="9"/>
        <v>#VALUE!</v>
      </c>
      <c r="AA74" s="55" t="e">
        <f t="shared" si="10"/>
        <v>#VALUE!</v>
      </c>
      <c r="AB74" s="55" t="e">
        <f t="shared" si="11"/>
        <v>#VALUE!</v>
      </c>
      <c r="AD74" s="32"/>
      <c r="AG74" s="97"/>
      <c r="AH74" s="97"/>
      <c r="AI74" s="97"/>
      <c r="AJ74" s="97"/>
      <c r="AK74" s="97"/>
      <c r="AL74" s="97"/>
      <c r="AM74" s="97"/>
      <c r="AN74" s="97"/>
      <c r="AO74" s="55"/>
      <c r="AP74" s="32"/>
      <c r="AQ74" s="55"/>
      <c r="AR74" s="55"/>
      <c r="BH74" s="55"/>
      <c r="BI74" s="55"/>
      <c r="BJ74" s="55"/>
    </row>
    <row r="75" spans="1:62">
      <c r="A75" s="47">
        <v>57</v>
      </c>
      <c r="L75" s="114" t="e">
        <f t="shared" si="12"/>
        <v>#VALUE!</v>
      </c>
      <c r="M75" s="29" t="e">
        <f t="shared" si="0"/>
        <v>#VALUE!</v>
      </c>
      <c r="N75" s="55" t="e">
        <f t="shared" si="1"/>
        <v>#VALUE!</v>
      </c>
      <c r="O75" s="55">
        <v>6</v>
      </c>
      <c r="P75" s="82" t="e">
        <f t="shared" si="13"/>
        <v>#VALUE!</v>
      </c>
      <c r="Q75" s="55" t="e">
        <f t="shared" si="2"/>
        <v>#VALUE!</v>
      </c>
      <c r="R75" s="55"/>
      <c r="S75" s="115" t="e">
        <f t="shared" si="3"/>
        <v>#VALUE!</v>
      </c>
      <c r="T75" s="55" t="e">
        <f t="shared" si="4"/>
        <v>#VALUE!</v>
      </c>
      <c r="U75" s="55" t="e">
        <f t="shared" si="5"/>
        <v>#VALUE!</v>
      </c>
      <c r="V75" s="82" t="e">
        <f t="shared" si="6"/>
        <v>#VALUE!</v>
      </c>
      <c r="W75" s="82" t="e">
        <f t="shared" si="7"/>
        <v>#VALUE!</v>
      </c>
      <c r="X75" s="55">
        <f t="shared" si="8"/>
        <v>0</v>
      </c>
      <c r="Y75" s="55">
        <f t="shared" si="14"/>
        <v>0</v>
      </c>
      <c r="Z75" s="55" t="e">
        <f t="shared" si="9"/>
        <v>#VALUE!</v>
      </c>
      <c r="AA75" s="55" t="e">
        <f t="shared" si="10"/>
        <v>#VALUE!</v>
      </c>
      <c r="AB75" s="55" t="e">
        <f t="shared" si="11"/>
        <v>#VALUE!</v>
      </c>
      <c r="AD75" s="32"/>
      <c r="AG75" s="97"/>
      <c r="AH75" s="97"/>
      <c r="AI75" s="97"/>
      <c r="AJ75" s="97"/>
      <c r="AK75" s="97"/>
      <c r="AL75" s="97"/>
      <c r="AM75" s="97"/>
      <c r="AN75" s="97"/>
      <c r="AO75" s="55"/>
      <c r="AP75" s="32"/>
      <c r="AQ75" s="55"/>
      <c r="AR75" s="55"/>
      <c r="BH75" s="55"/>
      <c r="BI75" s="55"/>
      <c r="BJ75" s="55"/>
    </row>
    <row r="76" spans="1:62">
      <c r="A76" s="47">
        <v>58</v>
      </c>
      <c r="D76" s="82"/>
      <c r="E76" s="82"/>
      <c r="F76" s="82"/>
      <c r="L76" s="114" t="e">
        <f t="shared" si="12"/>
        <v>#VALUE!</v>
      </c>
      <c r="M76" s="29" t="e">
        <f t="shared" si="0"/>
        <v>#VALUE!</v>
      </c>
      <c r="N76" s="55" t="e">
        <f t="shared" si="1"/>
        <v>#VALUE!</v>
      </c>
      <c r="O76" s="55">
        <v>7</v>
      </c>
      <c r="P76" s="82" t="e">
        <f t="shared" si="13"/>
        <v>#VALUE!</v>
      </c>
      <c r="Q76" s="55" t="e">
        <f t="shared" si="2"/>
        <v>#VALUE!</v>
      </c>
      <c r="R76" s="55"/>
      <c r="S76" s="115" t="e">
        <f t="shared" si="3"/>
        <v>#VALUE!</v>
      </c>
      <c r="T76" s="55" t="e">
        <f t="shared" si="4"/>
        <v>#VALUE!</v>
      </c>
      <c r="U76" s="55" t="e">
        <f t="shared" si="5"/>
        <v>#VALUE!</v>
      </c>
      <c r="V76" s="82" t="e">
        <f t="shared" si="6"/>
        <v>#VALUE!</v>
      </c>
      <c r="W76" s="82" t="e">
        <f t="shared" si="7"/>
        <v>#VALUE!</v>
      </c>
      <c r="X76" s="55">
        <f t="shared" si="8"/>
        <v>0</v>
      </c>
      <c r="Y76" s="55">
        <f t="shared" si="14"/>
        <v>0</v>
      </c>
      <c r="Z76" s="55" t="e">
        <f t="shared" si="9"/>
        <v>#VALUE!</v>
      </c>
      <c r="AA76" s="55" t="e">
        <f t="shared" si="10"/>
        <v>#VALUE!</v>
      </c>
      <c r="AB76" s="55" t="e">
        <f t="shared" si="11"/>
        <v>#VALUE!</v>
      </c>
      <c r="AD76" s="32"/>
      <c r="AG76" s="97"/>
      <c r="AH76" s="97"/>
      <c r="AI76" s="97"/>
      <c r="AJ76" s="97"/>
      <c r="AK76" s="97"/>
      <c r="AL76" s="97"/>
      <c r="AM76" s="97"/>
      <c r="AN76" s="97"/>
      <c r="AO76" s="55"/>
      <c r="AP76" s="32"/>
      <c r="AQ76" s="55"/>
      <c r="AR76" s="55"/>
      <c r="BH76" s="55"/>
      <c r="BI76" s="55"/>
      <c r="BJ76" s="55"/>
    </row>
    <row r="77" spans="1:62">
      <c r="A77" s="47">
        <v>59</v>
      </c>
      <c r="D77" s="82"/>
      <c r="E77" s="82"/>
      <c r="F77" s="82"/>
      <c r="G77" s="113"/>
      <c r="L77" s="114" t="e">
        <f t="shared" si="12"/>
        <v>#VALUE!</v>
      </c>
      <c r="M77" s="29" t="e">
        <f t="shared" si="0"/>
        <v>#VALUE!</v>
      </c>
      <c r="N77" s="55" t="e">
        <f t="shared" si="1"/>
        <v>#VALUE!</v>
      </c>
      <c r="O77" s="55">
        <v>8</v>
      </c>
      <c r="P77" s="82" t="e">
        <f t="shared" si="13"/>
        <v>#VALUE!</v>
      </c>
      <c r="Q77" s="55" t="e">
        <f t="shared" si="2"/>
        <v>#VALUE!</v>
      </c>
      <c r="R77" s="55"/>
      <c r="S77" s="115" t="e">
        <f t="shared" si="3"/>
        <v>#VALUE!</v>
      </c>
      <c r="T77" s="55" t="e">
        <f t="shared" si="4"/>
        <v>#VALUE!</v>
      </c>
      <c r="U77" s="55" t="e">
        <f t="shared" si="5"/>
        <v>#VALUE!</v>
      </c>
      <c r="V77" s="82" t="e">
        <f t="shared" si="6"/>
        <v>#VALUE!</v>
      </c>
      <c r="W77" s="82" t="e">
        <f t="shared" si="7"/>
        <v>#VALUE!</v>
      </c>
      <c r="X77" s="55">
        <f t="shared" si="8"/>
        <v>0</v>
      </c>
      <c r="Y77" s="55">
        <f t="shared" si="14"/>
        <v>0</v>
      </c>
      <c r="Z77" s="55" t="e">
        <f t="shared" si="9"/>
        <v>#VALUE!</v>
      </c>
      <c r="AA77" s="55" t="e">
        <f t="shared" si="10"/>
        <v>#VALUE!</v>
      </c>
      <c r="AB77" s="55" t="e">
        <f t="shared" si="11"/>
        <v>#VALUE!</v>
      </c>
      <c r="AD77" s="32"/>
      <c r="AG77" s="97"/>
      <c r="AH77" s="97"/>
      <c r="AI77" s="97"/>
      <c r="AJ77" s="97"/>
      <c r="AK77" s="97"/>
      <c r="AL77" s="97"/>
      <c r="AM77" s="97"/>
      <c r="AN77" s="97"/>
      <c r="AO77" s="55"/>
      <c r="AP77" s="32"/>
      <c r="AQ77" s="55"/>
      <c r="AR77" s="55"/>
      <c r="BH77" s="55"/>
      <c r="BI77" s="55"/>
      <c r="BJ77" s="55"/>
    </row>
    <row r="78" spans="1:62">
      <c r="A78" s="47">
        <v>60</v>
      </c>
      <c r="D78" s="82"/>
      <c r="E78" s="82"/>
      <c r="F78" s="82"/>
      <c r="G78" s="113"/>
      <c r="L78" s="114" t="e">
        <f t="shared" si="12"/>
        <v>#VALUE!</v>
      </c>
      <c r="M78" s="29" t="e">
        <f t="shared" si="0"/>
        <v>#VALUE!</v>
      </c>
      <c r="N78" s="55" t="e">
        <f t="shared" si="1"/>
        <v>#VALUE!</v>
      </c>
      <c r="O78" s="55">
        <v>9</v>
      </c>
      <c r="P78" s="82" t="e">
        <f t="shared" si="13"/>
        <v>#VALUE!</v>
      </c>
      <c r="Q78" s="55" t="e">
        <f t="shared" si="2"/>
        <v>#VALUE!</v>
      </c>
      <c r="R78" s="55"/>
      <c r="S78" s="115" t="e">
        <f t="shared" si="3"/>
        <v>#VALUE!</v>
      </c>
      <c r="T78" s="55" t="e">
        <f t="shared" si="4"/>
        <v>#VALUE!</v>
      </c>
      <c r="U78" s="55" t="e">
        <f t="shared" si="5"/>
        <v>#VALUE!</v>
      </c>
      <c r="V78" s="82" t="e">
        <f t="shared" si="6"/>
        <v>#VALUE!</v>
      </c>
      <c r="W78" s="82" t="e">
        <f t="shared" si="7"/>
        <v>#VALUE!</v>
      </c>
      <c r="X78" s="55">
        <f t="shared" si="8"/>
        <v>0</v>
      </c>
      <c r="Y78" s="55">
        <f t="shared" si="14"/>
        <v>0</v>
      </c>
      <c r="Z78" s="55" t="e">
        <f t="shared" si="9"/>
        <v>#VALUE!</v>
      </c>
      <c r="AA78" s="55" t="e">
        <f t="shared" si="10"/>
        <v>#VALUE!</v>
      </c>
      <c r="AB78" s="55" t="e">
        <f t="shared" si="11"/>
        <v>#VALUE!</v>
      </c>
      <c r="AD78" s="32"/>
      <c r="AG78" s="97"/>
      <c r="AH78" s="97"/>
      <c r="AI78" s="97"/>
      <c r="AJ78" s="97"/>
      <c r="AK78" s="97"/>
      <c r="AL78" s="97"/>
      <c r="AM78" s="97"/>
      <c r="AN78" s="97"/>
      <c r="AO78" s="55"/>
      <c r="AP78" s="32"/>
      <c r="AQ78" s="55"/>
      <c r="AR78" s="55"/>
      <c r="BH78" s="55"/>
      <c r="BI78" s="55"/>
      <c r="BJ78" s="55"/>
    </row>
    <row r="79" spans="1:62">
      <c r="A79" s="47">
        <v>61</v>
      </c>
      <c r="D79" s="82"/>
      <c r="E79" s="82"/>
      <c r="F79" s="82"/>
      <c r="G79" s="113"/>
      <c r="L79" s="114" t="e">
        <f t="shared" si="12"/>
        <v>#VALUE!</v>
      </c>
      <c r="M79" s="29" t="e">
        <f t="shared" si="0"/>
        <v>#VALUE!</v>
      </c>
      <c r="N79" s="55" t="e">
        <f t="shared" si="1"/>
        <v>#VALUE!</v>
      </c>
      <c r="O79" s="55">
        <v>10</v>
      </c>
      <c r="P79" s="82" t="e">
        <f t="shared" si="13"/>
        <v>#VALUE!</v>
      </c>
      <c r="Q79" s="55" t="e">
        <f t="shared" si="2"/>
        <v>#VALUE!</v>
      </c>
      <c r="R79" s="55"/>
      <c r="S79" s="115" t="e">
        <f t="shared" si="3"/>
        <v>#VALUE!</v>
      </c>
      <c r="T79" s="55" t="e">
        <f t="shared" si="4"/>
        <v>#VALUE!</v>
      </c>
      <c r="U79" s="55" t="e">
        <f t="shared" si="5"/>
        <v>#VALUE!</v>
      </c>
      <c r="V79" s="82" t="e">
        <f t="shared" si="6"/>
        <v>#VALUE!</v>
      </c>
      <c r="W79" s="82" t="e">
        <f t="shared" si="7"/>
        <v>#VALUE!</v>
      </c>
      <c r="X79" s="55">
        <f t="shared" si="8"/>
        <v>0</v>
      </c>
      <c r="Y79" s="55">
        <f t="shared" si="14"/>
        <v>0</v>
      </c>
      <c r="Z79" s="55" t="e">
        <f t="shared" si="9"/>
        <v>#VALUE!</v>
      </c>
      <c r="AA79" s="55" t="e">
        <f t="shared" si="10"/>
        <v>#VALUE!</v>
      </c>
      <c r="AB79" s="55" t="e">
        <f t="shared" si="11"/>
        <v>#VALUE!</v>
      </c>
      <c r="AD79" s="32"/>
      <c r="AG79" s="97"/>
      <c r="AH79" s="97"/>
      <c r="AI79" s="97"/>
      <c r="AJ79" s="97"/>
      <c r="AK79" s="97"/>
      <c r="AL79" s="97"/>
      <c r="AM79" s="97"/>
      <c r="AN79" s="97"/>
      <c r="AO79" s="55"/>
      <c r="AP79" s="32"/>
      <c r="AQ79" s="55"/>
      <c r="AR79" s="55"/>
      <c r="BH79" s="55"/>
      <c r="BI79" s="55"/>
      <c r="BJ79" s="55"/>
    </row>
    <row r="80" spans="1:62">
      <c r="A80" s="47">
        <v>62</v>
      </c>
      <c r="D80" s="82"/>
      <c r="E80" s="82"/>
      <c r="F80" s="82"/>
      <c r="G80" s="113"/>
      <c r="L80" s="114" t="e">
        <f t="shared" si="12"/>
        <v>#VALUE!</v>
      </c>
      <c r="M80" s="29" t="e">
        <f t="shared" si="0"/>
        <v>#VALUE!</v>
      </c>
      <c r="N80" s="55" t="e">
        <f t="shared" si="1"/>
        <v>#VALUE!</v>
      </c>
      <c r="O80" s="55">
        <v>11</v>
      </c>
      <c r="P80" s="82" t="e">
        <f t="shared" si="13"/>
        <v>#VALUE!</v>
      </c>
      <c r="Q80" s="55" t="e">
        <f t="shared" si="2"/>
        <v>#VALUE!</v>
      </c>
      <c r="R80" s="55"/>
      <c r="S80" s="115" t="e">
        <f t="shared" si="3"/>
        <v>#VALUE!</v>
      </c>
      <c r="T80" s="55" t="e">
        <f t="shared" si="4"/>
        <v>#VALUE!</v>
      </c>
      <c r="U80" s="55" t="e">
        <f t="shared" si="5"/>
        <v>#VALUE!</v>
      </c>
      <c r="V80" s="82" t="e">
        <f t="shared" si="6"/>
        <v>#VALUE!</v>
      </c>
      <c r="W80" s="82" t="e">
        <f t="shared" si="7"/>
        <v>#VALUE!</v>
      </c>
      <c r="X80" s="55">
        <f t="shared" si="8"/>
        <v>0</v>
      </c>
      <c r="Y80" s="55">
        <f t="shared" si="14"/>
        <v>0</v>
      </c>
      <c r="Z80" s="55" t="e">
        <f t="shared" si="9"/>
        <v>#VALUE!</v>
      </c>
      <c r="AA80" s="55" t="e">
        <f t="shared" si="10"/>
        <v>#VALUE!</v>
      </c>
      <c r="AB80" s="55" t="e">
        <f t="shared" si="11"/>
        <v>#VALUE!</v>
      </c>
      <c r="AD80" s="32"/>
      <c r="AG80" s="97"/>
      <c r="AH80" s="97"/>
      <c r="AI80" s="97"/>
      <c r="AJ80" s="97"/>
      <c r="AK80" s="97"/>
      <c r="AL80" s="97"/>
      <c r="AM80" s="97"/>
      <c r="AN80" s="97"/>
      <c r="AO80" s="55"/>
      <c r="AP80" s="32"/>
      <c r="AQ80" s="55"/>
      <c r="AR80" s="55"/>
      <c r="BH80" s="55"/>
      <c r="BI80" s="55"/>
      <c r="BJ80" s="55"/>
    </row>
    <row r="81" spans="1:62">
      <c r="A81" s="47">
        <v>63</v>
      </c>
      <c r="D81" s="82"/>
      <c r="E81" s="82"/>
      <c r="F81" s="82"/>
      <c r="G81" s="113"/>
      <c r="L81" s="114" t="e">
        <f t="shared" si="12"/>
        <v>#VALUE!</v>
      </c>
      <c r="M81" s="29" t="e">
        <f t="shared" si="0"/>
        <v>#VALUE!</v>
      </c>
      <c r="N81" s="55" t="e">
        <f t="shared" si="1"/>
        <v>#VALUE!</v>
      </c>
      <c r="O81" s="55">
        <v>12</v>
      </c>
      <c r="P81" s="82" t="e">
        <f t="shared" si="13"/>
        <v>#VALUE!</v>
      </c>
      <c r="Q81" s="55" t="e">
        <f t="shared" si="2"/>
        <v>#VALUE!</v>
      </c>
      <c r="R81" s="55"/>
      <c r="S81" s="115" t="e">
        <f t="shared" si="3"/>
        <v>#VALUE!</v>
      </c>
      <c r="T81" s="55" t="e">
        <f t="shared" si="4"/>
        <v>#VALUE!</v>
      </c>
      <c r="U81" s="55" t="e">
        <f t="shared" si="5"/>
        <v>#VALUE!</v>
      </c>
      <c r="V81" s="82" t="e">
        <f t="shared" si="6"/>
        <v>#VALUE!</v>
      </c>
      <c r="W81" s="82" t="e">
        <f t="shared" si="7"/>
        <v>#VALUE!</v>
      </c>
      <c r="X81" s="55">
        <f t="shared" si="8"/>
        <v>0</v>
      </c>
      <c r="Y81" s="55">
        <f t="shared" si="14"/>
        <v>0</v>
      </c>
      <c r="Z81" s="55" t="e">
        <f t="shared" si="9"/>
        <v>#VALUE!</v>
      </c>
      <c r="AA81" s="55" t="e">
        <f t="shared" si="10"/>
        <v>#VALUE!</v>
      </c>
      <c r="AB81" s="55" t="e">
        <f t="shared" si="11"/>
        <v>#VALUE!</v>
      </c>
      <c r="AD81" s="32"/>
      <c r="AG81" s="97"/>
      <c r="AH81" s="97"/>
      <c r="AI81" s="97"/>
      <c r="AJ81" s="97"/>
      <c r="AK81" s="97"/>
      <c r="AL81" s="97"/>
      <c r="AM81" s="97"/>
      <c r="AN81" s="97"/>
      <c r="AO81" s="55"/>
      <c r="AP81" s="32"/>
      <c r="AQ81" s="55"/>
      <c r="AR81" s="55"/>
      <c r="BH81" s="55"/>
      <c r="BI81" s="55"/>
      <c r="BJ81" s="55"/>
    </row>
    <row r="82" spans="1:62">
      <c r="A82" s="47">
        <v>64</v>
      </c>
      <c r="D82" s="82"/>
      <c r="E82" s="82"/>
      <c r="F82" s="82"/>
      <c r="G82" s="113"/>
      <c r="L82" s="114" t="e">
        <f t="shared" si="12"/>
        <v>#VALUE!</v>
      </c>
      <c r="M82" s="29" t="e">
        <f t="shared" si="0"/>
        <v>#VALUE!</v>
      </c>
      <c r="N82" s="55" t="e">
        <f t="shared" si="1"/>
        <v>#VALUE!</v>
      </c>
      <c r="O82" s="55">
        <v>13</v>
      </c>
      <c r="P82" s="82" t="e">
        <f t="shared" si="13"/>
        <v>#VALUE!</v>
      </c>
      <c r="Q82" s="55" t="e">
        <f t="shared" si="2"/>
        <v>#VALUE!</v>
      </c>
      <c r="R82" s="55"/>
      <c r="S82" s="115" t="e">
        <f t="shared" si="3"/>
        <v>#VALUE!</v>
      </c>
      <c r="T82" s="55" t="e">
        <f t="shared" si="4"/>
        <v>#VALUE!</v>
      </c>
      <c r="U82" s="55" t="e">
        <f t="shared" si="5"/>
        <v>#VALUE!</v>
      </c>
      <c r="V82" s="82" t="e">
        <f t="shared" si="6"/>
        <v>#VALUE!</v>
      </c>
      <c r="W82" s="82" t="e">
        <f t="shared" si="7"/>
        <v>#VALUE!</v>
      </c>
      <c r="X82" s="55">
        <f t="shared" si="8"/>
        <v>0</v>
      </c>
      <c r="Y82" s="55">
        <f t="shared" si="14"/>
        <v>0</v>
      </c>
      <c r="Z82" s="55" t="e">
        <f t="shared" si="9"/>
        <v>#VALUE!</v>
      </c>
      <c r="AA82" s="55" t="e">
        <f t="shared" si="10"/>
        <v>#VALUE!</v>
      </c>
      <c r="AB82" s="55" t="e">
        <f t="shared" si="11"/>
        <v>#VALUE!</v>
      </c>
      <c r="AD82" s="32"/>
      <c r="AO82" s="55"/>
      <c r="AP82" s="32"/>
      <c r="AQ82" s="55"/>
      <c r="AR82" s="55"/>
      <c r="BH82" s="55"/>
      <c r="BI82" s="55"/>
      <c r="BJ82" s="55"/>
    </row>
    <row r="83" spans="1:62">
      <c r="A83" s="47">
        <v>65</v>
      </c>
      <c r="D83" s="82"/>
      <c r="E83" s="82"/>
      <c r="F83" s="82"/>
      <c r="G83" s="113"/>
      <c r="L83" s="114" t="e">
        <f t="shared" si="12"/>
        <v>#VALUE!</v>
      </c>
      <c r="M83" s="29" t="e">
        <f t="shared" si="0"/>
        <v>#VALUE!</v>
      </c>
      <c r="N83" s="55" t="e">
        <f t="shared" si="1"/>
        <v>#VALUE!</v>
      </c>
      <c r="O83" s="55">
        <v>14</v>
      </c>
      <c r="P83" s="82" t="e">
        <f t="shared" si="13"/>
        <v>#VALUE!</v>
      </c>
      <c r="Q83" s="55" t="e">
        <f t="shared" si="2"/>
        <v>#VALUE!</v>
      </c>
      <c r="R83" s="55"/>
      <c r="S83" s="115" t="e">
        <f t="shared" si="3"/>
        <v>#VALUE!</v>
      </c>
      <c r="T83" s="55" t="e">
        <f t="shared" si="4"/>
        <v>#VALUE!</v>
      </c>
      <c r="U83" s="55" t="e">
        <f t="shared" si="5"/>
        <v>#VALUE!</v>
      </c>
      <c r="V83" s="82" t="e">
        <f t="shared" si="6"/>
        <v>#VALUE!</v>
      </c>
      <c r="W83" s="82" t="e">
        <f t="shared" si="7"/>
        <v>#VALUE!</v>
      </c>
      <c r="X83" s="55">
        <f t="shared" si="8"/>
        <v>0</v>
      </c>
      <c r="Y83" s="55">
        <f t="shared" si="14"/>
        <v>0</v>
      </c>
      <c r="Z83" s="55" t="e">
        <f t="shared" si="9"/>
        <v>#VALUE!</v>
      </c>
      <c r="AA83" s="55" t="e">
        <f t="shared" si="10"/>
        <v>#VALUE!</v>
      </c>
      <c r="AB83" s="55" t="e">
        <f t="shared" si="11"/>
        <v>#VALUE!</v>
      </c>
      <c r="AD83" s="32"/>
      <c r="AO83" s="55"/>
      <c r="AP83" s="32"/>
      <c r="AQ83" s="55"/>
      <c r="AR83" s="55"/>
      <c r="BH83" s="55"/>
      <c r="BI83" s="55"/>
      <c r="BJ83" s="55"/>
    </row>
    <row r="84" spans="1:62">
      <c r="A84" s="47">
        <v>66</v>
      </c>
      <c r="D84" s="82"/>
      <c r="E84" s="82"/>
      <c r="F84" s="82"/>
      <c r="G84" s="113"/>
      <c r="L84" s="114" t="e">
        <f t="shared" si="12"/>
        <v>#VALUE!</v>
      </c>
      <c r="M84" s="29" t="e">
        <f t="shared" si="0"/>
        <v>#VALUE!</v>
      </c>
      <c r="N84" s="55" t="e">
        <f t="shared" si="1"/>
        <v>#VALUE!</v>
      </c>
      <c r="O84" s="55">
        <v>15</v>
      </c>
      <c r="P84" s="82" t="e">
        <f t="shared" si="13"/>
        <v>#VALUE!</v>
      </c>
      <c r="Q84" s="55" t="e">
        <f t="shared" si="2"/>
        <v>#VALUE!</v>
      </c>
      <c r="R84" s="55"/>
      <c r="S84" s="115" t="e">
        <f t="shared" si="3"/>
        <v>#VALUE!</v>
      </c>
      <c r="T84" s="55" t="e">
        <f t="shared" si="4"/>
        <v>#VALUE!</v>
      </c>
      <c r="U84" s="55" t="e">
        <f t="shared" si="5"/>
        <v>#VALUE!</v>
      </c>
      <c r="V84" s="82" t="e">
        <f t="shared" si="6"/>
        <v>#VALUE!</v>
      </c>
      <c r="W84" s="82" t="e">
        <f t="shared" si="7"/>
        <v>#VALUE!</v>
      </c>
      <c r="X84" s="55">
        <f t="shared" si="8"/>
        <v>0</v>
      </c>
      <c r="Y84" s="55">
        <f t="shared" si="14"/>
        <v>0</v>
      </c>
      <c r="Z84" s="55" t="e">
        <f t="shared" si="9"/>
        <v>#VALUE!</v>
      </c>
      <c r="AA84" s="55" t="e">
        <f t="shared" si="10"/>
        <v>#VALUE!</v>
      </c>
      <c r="AB84" s="55" t="e">
        <f t="shared" si="11"/>
        <v>#VALUE!</v>
      </c>
      <c r="AD84" s="32"/>
      <c r="AO84" s="55"/>
      <c r="AP84" s="32"/>
      <c r="AQ84" s="55"/>
      <c r="AR84" s="55"/>
      <c r="BH84" s="55"/>
      <c r="BI84" s="55"/>
      <c r="BJ84" s="55"/>
    </row>
    <row r="85" spans="1:62">
      <c r="A85" s="47">
        <v>67</v>
      </c>
      <c r="D85" s="82"/>
      <c r="E85" s="82"/>
      <c r="F85" s="82"/>
      <c r="G85" s="113"/>
      <c r="L85" s="114" t="e">
        <f t="shared" si="12"/>
        <v>#VALUE!</v>
      </c>
      <c r="M85" s="29" t="e">
        <f t="shared" si="0"/>
        <v>#VALUE!</v>
      </c>
      <c r="N85" s="55" t="e">
        <f t="shared" si="1"/>
        <v>#VALUE!</v>
      </c>
      <c r="O85" s="55">
        <v>16</v>
      </c>
      <c r="P85" s="82" t="e">
        <f t="shared" si="13"/>
        <v>#VALUE!</v>
      </c>
      <c r="Q85" s="55" t="e">
        <f t="shared" si="2"/>
        <v>#VALUE!</v>
      </c>
      <c r="R85" s="55"/>
      <c r="S85" s="115" t="e">
        <f t="shared" si="3"/>
        <v>#VALUE!</v>
      </c>
      <c r="T85" s="55" t="e">
        <f t="shared" si="4"/>
        <v>#VALUE!</v>
      </c>
      <c r="U85" s="55" t="e">
        <f t="shared" si="5"/>
        <v>#VALUE!</v>
      </c>
      <c r="V85" s="82" t="e">
        <f t="shared" si="6"/>
        <v>#VALUE!</v>
      </c>
      <c r="W85" s="82" t="e">
        <f t="shared" si="7"/>
        <v>#VALUE!</v>
      </c>
      <c r="X85" s="55">
        <f t="shared" si="8"/>
        <v>0</v>
      </c>
      <c r="Y85" s="55">
        <f t="shared" si="14"/>
        <v>0</v>
      </c>
      <c r="Z85" s="55" t="e">
        <f t="shared" si="9"/>
        <v>#VALUE!</v>
      </c>
      <c r="AA85" s="55" t="e">
        <f t="shared" si="10"/>
        <v>#VALUE!</v>
      </c>
      <c r="AB85" s="55" t="e">
        <f t="shared" si="11"/>
        <v>#VALUE!</v>
      </c>
      <c r="AD85" s="32"/>
      <c r="AO85" s="55"/>
      <c r="AP85" s="32"/>
      <c r="AQ85" s="55"/>
      <c r="AR85" s="55"/>
      <c r="BH85" s="55"/>
      <c r="BI85" s="55"/>
      <c r="BJ85" s="55"/>
    </row>
    <row r="86" spans="1:62">
      <c r="A86" s="47">
        <v>68</v>
      </c>
      <c r="D86" s="82"/>
      <c r="E86" s="82"/>
      <c r="F86" s="82"/>
      <c r="G86" s="113"/>
      <c r="L86" s="114" t="e">
        <f t="shared" si="12"/>
        <v>#VALUE!</v>
      </c>
      <c r="M86" s="29" t="e">
        <f t="shared" si="0"/>
        <v>#VALUE!</v>
      </c>
      <c r="N86" s="55" t="e">
        <f t="shared" si="1"/>
        <v>#VALUE!</v>
      </c>
      <c r="O86" s="55">
        <v>17</v>
      </c>
      <c r="P86" s="82" t="e">
        <f t="shared" si="13"/>
        <v>#VALUE!</v>
      </c>
      <c r="Q86" s="55" t="e">
        <f t="shared" si="2"/>
        <v>#VALUE!</v>
      </c>
      <c r="R86" s="55"/>
      <c r="S86" s="115" t="e">
        <f t="shared" si="3"/>
        <v>#VALUE!</v>
      </c>
      <c r="T86" s="55" t="e">
        <f t="shared" si="4"/>
        <v>#VALUE!</v>
      </c>
      <c r="U86" s="55" t="e">
        <f t="shared" si="5"/>
        <v>#VALUE!</v>
      </c>
      <c r="V86" s="82" t="e">
        <f t="shared" si="6"/>
        <v>#VALUE!</v>
      </c>
      <c r="W86" s="82" t="e">
        <f t="shared" si="7"/>
        <v>#VALUE!</v>
      </c>
      <c r="X86" s="55">
        <f t="shared" si="8"/>
        <v>0</v>
      </c>
      <c r="Y86" s="55">
        <f t="shared" si="14"/>
        <v>0</v>
      </c>
      <c r="Z86" s="55" t="e">
        <f t="shared" si="9"/>
        <v>#VALUE!</v>
      </c>
      <c r="AA86" s="55" t="e">
        <f t="shared" si="10"/>
        <v>#VALUE!</v>
      </c>
      <c r="AB86" s="55" t="e">
        <f t="shared" si="11"/>
        <v>#VALUE!</v>
      </c>
      <c r="AD86" s="32"/>
      <c r="AO86" s="55"/>
      <c r="AP86" s="32"/>
      <c r="AQ86" s="55"/>
      <c r="AR86" s="55"/>
      <c r="BH86" s="55"/>
      <c r="BI86" s="55"/>
      <c r="BJ86" s="55"/>
    </row>
    <row r="87" spans="1:62">
      <c r="A87" s="47">
        <v>69</v>
      </c>
      <c r="D87" s="82"/>
      <c r="E87" s="82"/>
      <c r="F87" s="82"/>
      <c r="G87" s="113"/>
      <c r="L87" s="114" t="e">
        <f t="shared" si="12"/>
        <v>#VALUE!</v>
      </c>
      <c r="M87" s="29" t="e">
        <f t="shared" si="0"/>
        <v>#VALUE!</v>
      </c>
      <c r="N87" s="55" t="e">
        <f t="shared" si="1"/>
        <v>#VALUE!</v>
      </c>
      <c r="O87" s="55">
        <v>18</v>
      </c>
      <c r="P87" s="82" t="e">
        <f t="shared" si="13"/>
        <v>#VALUE!</v>
      </c>
      <c r="Q87" s="55" t="e">
        <f t="shared" si="2"/>
        <v>#VALUE!</v>
      </c>
      <c r="R87" s="55"/>
      <c r="S87" s="115" t="e">
        <f t="shared" si="3"/>
        <v>#VALUE!</v>
      </c>
      <c r="T87" s="55" t="e">
        <f t="shared" si="4"/>
        <v>#VALUE!</v>
      </c>
      <c r="U87" s="55" t="e">
        <f t="shared" si="5"/>
        <v>#VALUE!</v>
      </c>
      <c r="V87" s="82" t="e">
        <f t="shared" si="6"/>
        <v>#VALUE!</v>
      </c>
      <c r="W87" s="82" t="e">
        <f t="shared" si="7"/>
        <v>#VALUE!</v>
      </c>
      <c r="X87" s="55">
        <f t="shared" si="8"/>
        <v>0</v>
      </c>
      <c r="Y87" s="55">
        <f t="shared" si="14"/>
        <v>0</v>
      </c>
      <c r="Z87" s="55" t="e">
        <f t="shared" si="9"/>
        <v>#VALUE!</v>
      </c>
      <c r="AA87" s="55" t="e">
        <f t="shared" si="10"/>
        <v>#VALUE!</v>
      </c>
      <c r="AB87" s="55" t="e">
        <f t="shared" si="11"/>
        <v>#VALUE!</v>
      </c>
      <c r="AD87" s="32"/>
      <c r="AO87" s="55"/>
      <c r="AP87" s="32"/>
      <c r="AQ87" s="55"/>
      <c r="AR87" s="55"/>
      <c r="BH87" s="55"/>
      <c r="BI87" s="55"/>
      <c r="BJ87" s="55"/>
    </row>
    <row r="88" spans="1:62">
      <c r="A88" s="47">
        <v>70</v>
      </c>
      <c r="D88" s="82"/>
      <c r="E88" s="82"/>
      <c r="F88" s="82"/>
      <c r="G88" s="113"/>
      <c r="L88" s="114" t="e">
        <f t="shared" si="12"/>
        <v>#VALUE!</v>
      </c>
      <c r="M88" s="29" t="e">
        <f t="shared" si="0"/>
        <v>#VALUE!</v>
      </c>
      <c r="N88" s="55" t="e">
        <f t="shared" si="1"/>
        <v>#VALUE!</v>
      </c>
      <c r="O88" s="55">
        <v>19</v>
      </c>
      <c r="P88" s="82" t="e">
        <f t="shared" si="13"/>
        <v>#VALUE!</v>
      </c>
      <c r="Q88" s="55" t="e">
        <f t="shared" si="2"/>
        <v>#VALUE!</v>
      </c>
      <c r="R88" s="55"/>
      <c r="S88" s="115" t="e">
        <f t="shared" si="3"/>
        <v>#VALUE!</v>
      </c>
      <c r="T88" s="55" t="e">
        <f t="shared" si="4"/>
        <v>#VALUE!</v>
      </c>
      <c r="U88" s="55" t="e">
        <f t="shared" si="5"/>
        <v>#VALUE!</v>
      </c>
      <c r="V88" s="82" t="e">
        <f t="shared" si="6"/>
        <v>#VALUE!</v>
      </c>
      <c r="W88" s="82" t="e">
        <f t="shared" si="7"/>
        <v>#VALUE!</v>
      </c>
      <c r="X88" s="55">
        <f t="shared" si="8"/>
        <v>0</v>
      </c>
      <c r="Y88" s="55">
        <f t="shared" si="14"/>
        <v>0</v>
      </c>
      <c r="Z88" s="55" t="e">
        <f t="shared" si="9"/>
        <v>#VALUE!</v>
      </c>
      <c r="AA88" s="55" t="e">
        <f t="shared" si="10"/>
        <v>#VALUE!</v>
      </c>
      <c r="AB88" s="55" t="e">
        <f t="shared" si="11"/>
        <v>#VALUE!</v>
      </c>
      <c r="AD88" s="32"/>
      <c r="AO88" s="55"/>
      <c r="AP88" s="32"/>
      <c r="AQ88" s="55"/>
      <c r="AR88" s="55"/>
      <c r="BH88" s="55"/>
      <c r="BI88" s="55"/>
      <c r="BJ88" s="55"/>
    </row>
    <row r="89" spans="1:62">
      <c r="A89" s="47">
        <v>71</v>
      </c>
      <c r="D89" s="82"/>
      <c r="F89" s="82"/>
      <c r="G89" s="113"/>
      <c r="L89" s="114" t="e">
        <f t="shared" si="12"/>
        <v>#VALUE!</v>
      </c>
      <c r="M89" s="29" t="e">
        <f t="shared" si="0"/>
        <v>#VALUE!</v>
      </c>
      <c r="N89" s="55" t="e">
        <f t="shared" si="1"/>
        <v>#VALUE!</v>
      </c>
      <c r="O89" s="55">
        <v>20</v>
      </c>
      <c r="P89" s="82" t="e">
        <f t="shared" si="13"/>
        <v>#VALUE!</v>
      </c>
      <c r="Q89" s="55" t="e">
        <f t="shared" si="2"/>
        <v>#VALUE!</v>
      </c>
      <c r="R89" s="55"/>
      <c r="S89" s="115" t="e">
        <f t="shared" si="3"/>
        <v>#VALUE!</v>
      </c>
      <c r="T89" s="55" t="e">
        <f t="shared" si="4"/>
        <v>#VALUE!</v>
      </c>
      <c r="U89" s="55" t="e">
        <f t="shared" si="5"/>
        <v>#VALUE!</v>
      </c>
      <c r="V89" s="82" t="e">
        <f t="shared" si="6"/>
        <v>#VALUE!</v>
      </c>
      <c r="W89" s="82" t="e">
        <f t="shared" si="7"/>
        <v>#VALUE!</v>
      </c>
      <c r="X89" s="55">
        <f t="shared" si="8"/>
        <v>0</v>
      </c>
      <c r="Y89" s="55">
        <f t="shared" si="14"/>
        <v>0</v>
      </c>
      <c r="Z89" s="55" t="e">
        <f t="shared" si="9"/>
        <v>#VALUE!</v>
      </c>
      <c r="AA89" s="55" t="e">
        <f t="shared" si="10"/>
        <v>#VALUE!</v>
      </c>
      <c r="AB89" s="55" t="e">
        <f t="shared" si="11"/>
        <v>#VALUE!</v>
      </c>
      <c r="AD89" s="32"/>
      <c r="AO89" s="55"/>
      <c r="AP89" s="32"/>
      <c r="AQ89" s="55"/>
      <c r="AR89" s="55"/>
      <c r="BH89" s="55"/>
      <c r="BI89" s="55"/>
      <c r="BJ89" s="55"/>
    </row>
    <row r="90" spans="1:62">
      <c r="A90" s="47">
        <v>72</v>
      </c>
      <c r="L90" s="114" t="e">
        <f t="shared" si="12"/>
        <v>#VALUE!</v>
      </c>
      <c r="M90" s="29" t="e">
        <f t="shared" si="0"/>
        <v>#VALUE!</v>
      </c>
      <c r="N90" s="55" t="e">
        <f t="shared" si="1"/>
        <v>#VALUE!</v>
      </c>
      <c r="O90" s="55">
        <v>21</v>
      </c>
      <c r="P90" s="82" t="e">
        <f t="shared" si="13"/>
        <v>#VALUE!</v>
      </c>
      <c r="Q90" s="55" t="e">
        <f t="shared" si="2"/>
        <v>#VALUE!</v>
      </c>
      <c r="R90" s="55"/>
      <c r="S90" s="115" t="e">
        <f t="shared" si="3"/>
        <v>#VALUE!</v>
      </c>
      <c r="T90" s="55" t="e">
        <f t="shared" si="4"/>
        <v>#VALUE!</v>
      </c>
      <c r="U90" s="55" t="e">
        <f t="shared" si="5"/>
        <v>#VALUE!</v>
      </c>
      <c r="V90" s="82" t="e">
        <f t="shared" si="6"/>
        <v>#VALUE!</v>
      </c>
      <c r="W90" s="82" t="e">
        <f t="shared" si="7"/>
        <v>#VALUE!</v>
      </c>
      <c r="X90" s="55">
        <f t="shared" si="8"/>
        <v>0</v>
      </c>
      <c r="Y90" s="55">
        <f t="shared" si="14"/>
        <v>0</v>
      </c>
      <c r="Z90" s="55" t="e">
        <f t="shared" si="9"/>
        <v>#VALUE!</v>
      </c>
      <c r="AA90" s="55" t="e">
        <f t="shared" si="10"/>
        <v>#VALUE!</v>
      </c>
      <c r="AB90" s="55" t="e">
        <f t="shared" si="11"/>
        <v>#VALUE!</v>
      </c>
      <c r="AD90" s="32"/>
      <c r="AO90" s="55"/>
      <c r="AP90" s="32"/>
      <c r="AQ90" s="55"/>
      <c r="AR90" s="55"/>
      <c r="BH90" s="55"/>
      <c r="BI90" s="55"/>
      <c r="BJ90" s="55"/>
    </row>
    <row r="91" spans="1:62">
      <c r="A91" s="47">
        <v>73</v>
      </c>
      <c r="L91" s="114" t="e">
        <f t="shared" si="12"/>
        <v>#VALUE!</v>
      </c>
      <c r="M91" s="29" t="e">
        <f t="shared" si="0"/>
        <v>#VALUE!</v>
      </c>
      <c r="N91" s="55" t="e">
        <f t="shared" si="1"/>
        <v>#VALUE!</v>
      </c>
      <c r="O91" s="55">
        <v>22</v>
      </c>
      <c r="P91" s="82" t="e">
        <f t="shared" si="13"/>
        <v>#VALUE!</v>
      </c>
      <c r="Q91" s="55" t="e">
        <f t="shared" si="2"/>
        <v>#VALUE!</v>
      </c>
      <c r="R91" s="55"/>
      <c r="S91" s="115" t="e">
        <f t="shared" si="3"/>
        <v>#VALUE!</v>
      </c>
      <c r="T91" s="55" t="e">
        <f t="shared" si="4"/>
        <v>#VALUE!</v>
      </c>
      <c r="U91" s="55" t="e">
        <f t="shared" si="5"/>
        <v>#VALUE!</v>
      </c>
      <c r="V91" s="82" t="e">
        <f t="shared" si="6"/>
        <v>#VALUE!</v>
      </c>
      <c r="W91" s="82" t="e">
        <f t="shared" si="7"/>
        <v>#VALUE!</v>
      </c>
      <c r="X91" s="55">
        <f t="shared" si="8"/>
        <v>0</v>
      </c>
      <c r="Y91" s="55">
        <f t="shared" si="14"/>
        <v>0</v>
      </c>
      <c r="Z91" s="55" t="e">
        <f t="shared" si="9"/>
        <v>#VALUE!</v>
      </c>
      <c r="AA91" s="55" t="e">
        <f t="shared" si="10"/>
        <v>#VALUE!</v>
      </c>
      <c r="AB91" s="55" t="e">
        <f t="shared" si="11"/>
        <v>#VALUE!</v>
      </c>
      <c r="AD91" s="32"/>
      <c r="AO91" s="55"/>
      <c r="AP91" s="32"/>
      <c r="AQ91" s="55"/>
      <c r="AR91" s="55"/>
      <c r="BH91" s="55"/>
      <c r="BI91" s="55"/>
      <c r="BJ91" s="55"/>
    </row>
    <row r="92" spans="1:62">
      <c r="A92" s="47">
        <v>74</v>
      </c>
      <c r="L92" s="114" t="e">
        <f t="shared" si="12"/>
        <v>#VALUE!</v>
      </c>
      <c r="M92" s="29" t="e">
        <f t="shared" si="0"/>
        <v>#VALUE!</v>
      </c>
      <c r="N92" s="55" t="e">
        <f t="shared" si="1"/>
        <v>#VALUE!</v>
      </c>
      <c r="O92" s="55">
        <v>23</v>
      </c>
      <c r="P92" s="82" t="e">
        <f t="shared" si="13"/>
        <v>#VALUE!</v>
      </c>
      <c r="Q92" s="55" t="e">
        <f t="shared" si="2"/>
        <v>#VALUE!</v>
      </c>
      <c r="R92" s="55"/>
      <c r="S92" s="115" t="e">
        <f t="shared" si="3"/>
        <v>#VALUE!</v>
      </c>
      <c r="T92" s="55" t="e">
        <f t="shared" si="4"/>
        <v>#VALUE!</v>
      </c>
      <c r="U92" s="55" t="e">
        <f t="shared" si="5"/>
        <v>#VALUE!</v>
      </c>
      <c r="V92" s="82" t="e">
        <f t="shared" si="6"/>
        <v>#VALUE!</v>
      </c>
      <c r="W92" s="82" t="e">
        <f t="shared" si="7"/>
        <v>#VALUE!</v>
      </c>
      <c r="X92" s="55">
        <f t="shared" si="8"/>
        <v>0</v>
      </c>
      <c r="Y92" s="55">
        <f t="shared" si="14"/>
        <v>0</v>
      </c>
      <c r="Z92" s="55" t="e">
        <f t="shared" si="9"/>
        <v>#VALUE!</v>
      </c>
      <c r="AA92" s="55" t="e">
        <f t="shared" si="10"/>
        <v>#VALUE!</v>
      </c>
      <c r="AB92" s="55" t="e">
        <f t="shared" si="11"/>
        <v>#VALUE!</v>
      </c>
      <c r="AD92" s="32"/>
      <c r="AO92" s="55"/>
      <c r="AP92" s="32"/>
      <c r="AQ92" s="55"/>
      <c r="AR92" s="55"/>
      <c r="BH92" s="55"/>
      <c r="BI92" s="55"/>
      <c r="BJ92" s="55"/>
    </row>
    <row r="93" spans="1:62">
      <c r="A93" s="47">
        <v>75</v>
      </c>
      <c r="L93" s="114" t="e">
        <f t="shared" si="12"/>
        <v>#VALUE!</v>
      </c>
      <c r="M93" s="29" t="e">
        <f t="shared" si="0"/>
        <v>#VALUE!</v>
      </c>
      <c r="N93" s="55" t="e">
        <f t="shared" si="1"/>
        <v>#VALUE!</v>
      </c>
      <c r="O93" s="55">
        <v>24</v>
      </c>
      <c r="P93" s="82" t="e">
        <f t="shared" si="13"/>
        <v>#VALUE!</v>
      </c>
      <c r="Q93" s="55" t="e">
        <f t="shared" si="2"/>
        <v>#VALUE!</v>
      </c>
      <c r="R93" s="55"/>
      <c r="S93" s="115" t="e">
        <f t="shared" si="3"/>
        <v>#VALUE!</v>
      </c>
      <c r="T93" s="55" t="e">
        <f t="shared" si="4"/>
        <v>#VALUE!</v>
      </c>
      <c r="U93" s="55" t="e">
        <f t="shared" si="5"/>
        <v>#VALUE!</v>
      </c>
      <c r="V93" s="82" t="e">
        <f t="shared" si="6"/>
        <v>#VALUE!</v>
      </c>
      <c r="W93" s="82" t="e">
        <f t="shared" si="7"/>
        <v>#VALUE!</v>
      </c>
      <c r="X93" s="55">
        <f t="shared" si="8"/>
        <v>0</v>
      </c>
      <c r="Y93" s="55">
        <f t="shared" si="14"/>
        <v>0</v>
      </c>
      <c r="Z93" s="55" t="e">
        <f t="shared" si="9"/>
        <v>#VALUE!</v>
      </c>
      <c r="AA93" s="55" t="e">
        <f t="shared" si="10"/>
        <v>#VALUE!</v>
      </c>
      <c r="AB93" s="55" t="e">
        <f t="shared" si="11"/>
        <v>#VALUE!</v>
      </c>
      <c r="AD93" s="32"/>
      <c r="AO93" s="55"/>
      <c r="AP93" s="32"/>
      <c r="AQ93" s="55"/>
      <c r="AR93" s="55"/>
      <c r="BH93" s="55"/>
      <c r="BI93" s="55"/>
      <c r="BJ93" s="55"/>
    </row>
    <row r="94" spans="1:62">
      <c r="A94" s="47">
        <v>76</v>
      </c>
      <c r="L94" s="114" t="e">
        <f t="shared" si="12"/>
        <v>#VALUE!</v>
      </c>
      <c r="M94" s="29" t="e">
        <f t="shared" si="0"/>
        <v>#VALUE!</v>
      </c>
      <c r="N94" s="55" t="e">
        <f t="shared" si="1"/>
        <v>#VALUE!</v>
      </c>
      <c r="O94" s="55">
        <v>25</v>
      </c>
      <c r="P94" s="82" t="e">
        <f t="shared" si="13"/>
        <v>#VALUE!</v>
      </c>
      <c r="Q94" s="55" t="e">
        <f t="shared" si="2"/>
        <v>#VALUE!</v>
      </c>
      <c r="R94" s="55"/>
      <c r="S94" s="115" t="e">
        <f t="shared" si="3"/>
        <v>#VALUE!</v>
      </c>
      <c r="T94" s="55" t="e">
        <f t="shared" si="4"/>
        <v>#VALUE!</v>
      </c>
      <c r="U94" s="55" t="e">
        <f t="shared" si="5"/>
        <v>#VALUE!</v>
      </c>
      <c r="V94" s="82" t="e">
        <f t="shared" si="6"/>
        <v>#VALUE!</v>
      </c>
      <c r="W94" s="82" t="e">
        <f t="shared" si="7"/>
        <v>#VALUE!</v>
      </c>
      <c r="X94" s="55">
        <f t="shared" si="8"/>
        <v>0</v>
      </c>
      <c r="Y94" s="55">
        <f t="shared" si="14"/>
        <v>0</v>
      </c>
      <c r="Z94" s="55" t="e">
        <f t="shared" si="9"/>
        <v>#VALUE!</v>
      </c>
      <c r="AA94" s="55" t="e">
        <f t="shared" si="10"/>
        <v>#VALUE!</v>
      </c>
      <c r="AB94" s="55" t="e">
        <f t="shared" si="11"/>
        <v>#VALUE!</v>
      </c>
      <c r="AD94" s="32"/>
      <c r="AO94" s="55"/>
      <c r="AP94" s="32"/>
      <c r="AQ94" s="55"/>
      <c r="AR94" s="55"/>
      <c r="BH94" s="55"/>
      <c r="BI94" s="55"/>
      <c r="BJ94" s="55"/>
    </row>
    <row r="95" spans="1:62">
      <c r="A95" s="47">
        <v>77</v>
      </c>
      <c r="E95" s="108"/>
      <c r="L95" s="114" t="e">
        <f t="shared" si="12"/>
        <v>#VALUE!</v>
      </c>
      <c r="M95" s="29" t="e">
        <f t="shared" si="0"/>
        <v>#VALUE!</v>
      </c>
      <c r="N95" s="55" t="e">
        <f t="shared" si="1"/>
        <v>#VALUE!</v>
      </c>
      <c r="O95" s="55">
        <v>26</v>
      </c>
      <c r="P95" s="82" t="e">
        <f t="shared" si="13"/>
        <v>#VALUE!</v>
      </c>
      <c r="Q95" s="55" t="e">
        <f t="shared" si="2"/>
        <v>#VALUE!</v>
      </c>
      <c r="R95" s="55"/>
      <c r="S95" s="115" t="e">
        <f t="shared" si="3"/>
        <v>#VALUE!</v>
      </c>
      <c r="T95" s="55" t="e">
        <f t="shared" si="4"/>
        <v>#VALUE!</v>
      </c>
      <c r="U95" s="55" t="e">
        <f t="shared" si="5"/>
        <v>#VALUE!</v>
      </c>
      <c r="V95" s="82" t="e">
        <f t="shared" si="6"/>
        <v>#VALUE!</v>
      </c>
      <c r="W95" s="82" t="e">
        <f t="shared" si="7"/>
        <v>#VALUE!</v>
      </c>
      <c r="X95" s="55">
        <f t="shared" si="8"/>
        <v>0</v>
      </c>
      <c r="Y95" s="55">
        <f t="shared" si="14"/>
        <v>0</v>
      </c>
      <c r="Z95" s="55" t="e">
        <f t="shared" si="9"/>
        <v>#VALUE!</v>
      </c>
      <c r="AA95" s="55" t="e">
        <f t="shared" si="10"/>
        <v>#VALUE!</v>
      </c>
      <c r="AB95" s="55" t="e">
        <f t="shared" si="11"/>
        <v>#VALUE!</v>
      </c>
      <c r="AD95" s="32"/>
      <c r="AO95" s="55"/>
      <c r="AP95" s="32"/>
      <c r="AQ95" s="55"/>
      <c r="AR95" s="55"/>
      <c r="BH95" s="55"/>
      <c r="BI95" s="55"/>
      <c r="BJ95" s="55"/>
    </row>
    <row r="96" spans="1:62">
      <c r="A96" s="47">
        <v>78</v>
      </c>
      <c r="E96" s="108"/>
      <c r="L96" s="114" t="e">
        <f t="shared" si="12"/>
        <v>#VALUE!</v>
      </c>
      <c r="M96" s="29" t="e">
        <f t="shared" si="0"/>
        <v>#VALUE!</v>
      </c>
      <c r="N96" s="55" t="e">
        <f t="shared" si="1"/>
        <v>#VALUE!</v>
      </c>
      <c r="O96" s="55">
        <v>27</v>
      </c>
      <c r="P96" s="82" t="e">
        <f t="shared" si="13"/>
        <v>#VALUE!</v>
      </c>
      <c r="Q96" s="55" t="e">
        <f t="shared" si="2"/>
        <v>#VALUE!</v>
      </c>
      <c r="R96" s="55"/>
      <c r="S96" s="115" t="e">
        <f t="shared" si="3"/>
        <v>#VALUE!</v>
      </c>
      <c r="T96" s="55" t="e">
        <f t="shared" si="4"/>
        <v>#VALUE!</v>
      </c>
      <c r="U96" s="55" t="e">
        <f t="shared" si="5"/>
        <v>#VALUE!</v>
      </c>
      <c r="V96" s="82" t="e">
        <f t="shared" si="6"/>
        <v>#VALUE!</v>
      </c>
      <c r="W96" s="82" t="e">
        <f t="shared" si="7"/>
        <v>#VALUE!</v>
      </c>
      <c r="X96" s="55">
        <f t="shared" si="8"/>
        <v>0</v>
      </c>
      <c r="Y96" s="55">
        <f t="shared" si="14"/>
        <v>0</v>
      </c>
      <c r="Z96" s="55" t="e">
        <f t="shared" si="9"/>
        <v>#VALUE!</v>
      </c>
      <c r="AA96" s="55" t="e">
        <f t="shared" si="10"/>
        <v>#VALUE!</v>
      </c>
      <c r="AB96" s="55" t="e">
        <f t="shared" si="11"/>
        <v>#VALUE!</v>
      </c>
      <c r="AD96" s="32"/>
      <c r="AO96" s="55"/>
      <c r="AP96" s="32"/>
      <c r="AQ96" s="55"/>
      <c r="AR96" s="55"/>
      <c r="BH96" s="55"/>
      <c r="BI96" s="55"/>
      <c r="BJ96" s="55"/>
    </row>
    <row r="97" spans="1:62">
      <c r="A97" s="47">
        <v>79</v>
      </c>
      <c r="E97" s="82"/>
      <c r="L97" s="114" t="e">
        <f t="shared" si="12"/>
        <v>#VALUE!</v>
      </c>
      <c r="M97" s="29" t="e">
        <f t="shared" si="0"/>
        <v>#VALUE!</v>
      </c>
      <c r="N97" s="55" t="e">
        <f t="shared" si="1"/>
        <v>#VALUE!</v>
      </c>
      <c r="O97" s="55">
        <v>28</v>
      </c>
      <c r="P97" s="82" t="e">
        <f t="shared" si="13"/>
        <v>#VALUE!</v>
      </c>
      <c r="Q97" s="55" t="e">
        <f t="shared" si="2"/>
        <v>#VALUE!</v>
      </c>
      <c r="R97" s="55"/>
      <c r="S97" s="115" t="e">
        <f t="shared" si="3"/>
        <v>#VALUE!</v>
      </c>
      <c r="T97" s="55" t="e">
        <f t="shared" si="4"/>
        <v>#VALUE!</v>
      </c>
      <c r="U97" s="55" t="e">
        <f t="shared" si="5"/>
        <v>#VALUE!</v>
      </c>
      <c r="V97" s="82" t="e">
        <f t="shared" si="6"/>
        <v>#VALUE!</v>
      </c>
      <c r="W97" s="82" t="e">
        <f t="shared" si="7"/>
        <v>#VALUE!</v>
      </c>
      <c r="X97" s="55">
        <f t="shared" si="8"/>
        <v>0</v>
      </c>
      <c r="Y97" s="55">
        <f t="shared" si="14"/>
        <v>0</v>
      </c>
      <c r="Z97" s="55" t="e">
        <f t="shared" si="9"/>
        <v>#VALUE!</v>
      </c>
      <c r="AA97" s="55" t="e">
        <f t="shared" si="10"/>
        <v>#VALUE!</v>
      </c>
      <c r="AB97" s="55" t="e">
        <f t="shared" si="11"/>
        <v>#VALUE!</v>
      </c>
      <c r="AD97" s="32"/>
      <c r="AO97" s="55"/>
      <c r="AP97" s="32"/>
      <c r="AQ97" s="55"/>
      <c r="AR97" s="55"/>
      <c r="BH97" s="55"/>
      <c r="BI97" s="55"/>
      <c r="BJ97" s="55"/>
    </row>
    <row r="98" spans="1:62">
      <c r="A98" s="47">
        <v>80</v>
      </c>
      <c r="L98" s="114" t="e">
        <f t="shared" si="12"/>
        <v>#VALUE!</v>
      </c>
      <c r="M98" s="29" t="e">
        <f t="shared" si="0"/>
        <v>#VALUE!</v>
      </c>
      <c r="N98" s="55" t="e">
        <f t="shared" si="1"/>
        <v>#VALUE!</v>
      </c>
      <c r="O98" s="55">
        <v>29</v>
      </c>
      <c r="P98" s="82" t="e">
        <f t="shared" si="13"/>
        <v>#VALUE!</v>
      </c>
      <c r="Q98" s="55" t="e">
        <f t="shared" si="2"/>
        <v>#VALUE!</v>
      </c>
      <c r="R98" s="55"/>
      <c r="S98" s="115" t="e">
        <f t="shared" si="3"/>
        <v>#VALUE!</v>
      </c>
      <c r="T98" s="55" t="e">
        <f t="shared" si="4"/>
        <v>#VALUE!</v>
      </c>
      <c r="U98" s="55" t="e">
        <f t="shared" si="5"/>
        <v>#VALUE!</v>
      </c>
      <c r="V98" s="82" t="e">
        <f t="shared" si="6"/>
        <v>#VALUE!</v>
      </c>
      <c r="W98" s="82" t="e">
        <f t="shared" si="7"/>
        <v>#VALUE!</v>
      </c>
      <c r="X98" s="55">
        <f t="shared" si="8"/>
        <v>0</v>
      </c>
      <c r="Y98" s="55">
        <f t="shared" si="14"/>
        <v>0</v>
      </c>
      <c r="Z98" s="55" t="e">
        <f t="shared" si="9"/>
        <v>#VALUE!</v>
      </c>
      <c r="AA98" s="55" t="e">
        <f t="shared" si="10"/>
        <v>#VALUE!</v>
      </c>
      <c r="AB98" s="55" t="e">
        <f t="shared" si="11"/>
        <v>#VALUE!</v>
      </c>
      <c r="AD98" s="32"/>
      <c r="AO98" s="55"/>
      <c r="AP98" s="32"/>
      <c r="AQ98" s="55"/>
      <c r="AR98" s="55"/>
      <c r="BH98" s="55"/>
      <c r="BI98" s="55"/>
      <c r="BJ98" s="55"/>
    </row>
    <row r="99" spans="1:62">
      <c r="A99" s="47">
        <v>81</v>
      </c>
      <c r="L99" s="114" t="e">
        <f t="shared" si="12"/>
        <v>#VALUE!</v>
      </c>
      <c r="M99" s="29" t="e">
        <f t="shared" si="0"/>
        <v>#VALUE!</v>
      </c>
      <c r="N99" s="55" t="e">
        <f t="shared" si="1"/>
        <v>#VALUE!</v>
      </c>
      <c r="O99" s="55">
        <v>30</v>
      </c>
      <c r="P99" s="82" t="e">
        <f t="shared" si="13"/>
        <v>#VALUE!</v>
      </c>
      <c r="Q99" s="55" t="e">
        <f t="shared" si="2"/>
        <v>#VALUE!</v>
      </c>
      <c r="R99" s="55"/>
      <c r="S99" s="115" t="e">
        <f t="shared" si="3"/>
        <v>#VALUE!</v>
      </c>
      <c r="T99" s="55" t="e">
        <f t="shared" si="4"/>
        <v>#VALUE!</v>
      </c>
      <c r="U99" s="55" t="e">
        <f t="shared" si="5"/>
        <v>#VALUE!</v>
      </c>
      <c r="V99" s="82" t="e">
        <f t="shared" si="6"/>
        <v>#VALUE!</v>
      </c>
      <c r="W99" s="82" t="e">
        <f t="shared" si="7"/>
        <v>#VALUE!</v>
      </c>
      <c r="X99" s="55">
        <f t="shared" si="8"/>
        <v>0</v>
      </c>
      <c r="Y99" s="55">
        <f t="shared" si="14"/>
        <v>0</v>
      </c>
      <c r="Z99" s="55" t="e">
        <f t="shared" si="9"/>
        <v>#VALUE!</v>
      </c>
      <c r="AA99" s="55" t="e">
        <f t="shared" si="10"/>
        <v>#VALUE!</v>
      </c>
      <c r="AB99" s="55" t="e">
        <f t="shared" si="11"/>
        <v>#VALUE!</v>
      </c>
      <c r="AD99" s="32"/>
      <c r="AO99" s="55"/>
      <c r="AP99" s="32"/>
      <c r="AQ99" s="55"/>
      <c r="AR99" s="55"/>
      <c r="BH99" s="55"/>
      <c r="BI99" s="55"/>
      <c r="BJ99" s="55"/>
    </row>
    <row r="100" spans="1:62">
      <c r="A100" s="47">
        <v>82</v>
      </c>
      <c r="L100" s="114" t="e">
        <f t="shared" si="12"/>
        <v>#VALUE!</v>
      </c>
      <c r="M100" s="29" t="e">
        <f t="shared" si="0"/>
        <v>#VALUE!</v>
      </c>
      <c r="N100" s="55" t="e">
        <f t="shared" si="1"/>
        <v>#VALUE!</v>
      </c>
      <c r="O100" s="55">
        <v>31</v>
      </c>
      <c r="P100" s="82" t="e">
        <f t="shared" si="13"/>
        <v>#VALUE!</v>
      </c>
      <c r="Q100" s="55" t="e">
        <f t="shared" si="2"/>
        <v>#VALUE!</v>
      </c>
      <c r="R100" s="55"/>
      <c r="S100" s="115" t="e">
        <f t="shared" si="3"/>
        <v>#VALUE!</v>
      </c>
      <c r="T100" s="55" t="e">
        <f t="shared" si="4"/>
        <v>#VALUE!</v>
      </c>
      <c r="U100" s="55" t="e">
        <f t="shared" si="5"/>
        <v>#VALUE!</v>
      </c>
      <c r="V100" s="82" t="e">
        <f t="shared" si="6"/>
        <v>#VALUE!</v>
      </c>
      <c r="W100" s="82" t="e">
        <f t="shared" si="7"/>
        <v>#VALUE!</v>
      </c>
      <c r="X100" s="55">
        <f t="shared" si="8"/>
        <v>0</v>
      </c>
      <c r="Y100" s="55">
        <f t="shared" si="14"/>
        <v>0</v>
      </c>
      <c r="Z100" s="55" t="e">
        <f t="shared" si="9"/>
        <v>#VALUE!</v>
      </c>
      <c r="AA100" s="55" t="e">
        <f t="shared" si="10"/>
        <v>#VALUE!</v>
      </c>
      <c r="AB100" s="55" t="e">
        <f t="shared" si="11"/>
        <v>#VALUE!</v>
      </c>
      <c r="AD100" s="32"/>
      <c r="AO100" s="55"/>
      <c r="AP100" s="32"/>
      <c r="AQ100" s="55"/>
      <c r="AR100" s="55"/>
      <c r="BH100" s="55"/>
      <c r="BI100" s="55"/>
      <c r="BJ100" s="55"/>
    </row>
    <row r="101" spans="1:62">
      <c r="A101" s="47">
        <v>83</v>
      </c>
      <c r="L101" s="114" t="e">
        <f t="shared" si="12"/>
        <v>#VALUE!</v>
      </c>
      <c r="M101" s="29" t="e">
        <f t="shared" ref="M101:M132" si="15">IF(N101&lt;0," ",N101)</f>
        <v>#VALUE!</v>
      </c>
      <c r="N101" s="55" t="e">
        <f t="shared" ref="N101:N132" si="16">(0.39894228/$E$33)*EXP(-((L101-$E$32)^2)/(2*$E$33^2))*(1-0.5*$L$36*((L101-$E$32)/$E$33-(L101-$E$32)^3/(3*$E$33^3)))</f>
        <v>#VALUE!</v>
      </c>
      <c r="O101" s="55">
        <v>32</v>
      </c>
      <c r="P101" s="82" t="e">
        <f t="shared" si="13"/>
        <v>#VALUE!</v>
      </c>
      <c r="Q101" s="55" t="e">
        <f t="shared" ref="Q101:Q117" si="17">(0.39894228/$E$33)*EXP(-((P101-$E$32)^2)/(2*$E$33^2))</f>
        <v>#VALUE!</v>
      </c>
      <c r="R101" s="55"/>
      <c r="S101" s="115" t="e">
        <f t="shared" ref="S101:S117" si="18">IF(AND(V101&lt;0,U101+$S$118=2),FIXED(V101,5),IF(U101+$S$118=2,FIXED(V101,6),IF(U101+$S$118=3,FIXED(V101,5),IF(U101+$S$118=4,FIXED(V101,4),IF(U101+$S$118=5,FIXED(V101,3),IF(U101+$S$118=6,FIXED(V101,2)," "))))))</f>
        <v>#VALUE!</v>
      </c>
      <c r="T101" s="55" t="e">
        <f t="shared" ref="T101:T117" si="19">IF($Q$67+U101=2,SUM(Y101:Y104),IF($Q$67+U101=3,SUM(Y101:Y102),IF($Q$67+U101&gt;=4,Y101,T100)))</f>
        <v>#VALUE!</v>
      </c>
      <c r="U101" s="55" t="e">
        <f t="shared" ref="U101:U117" si="20">IF(ROUND((V101-$P$62)/$R$64,4)=ROUND((V101-$P$62)/$R$64,0),1,-100)</f>
        <v>#VALUE!</v>
      </c>
      <c r="V101" s="82" t="e">
        <f t="shared" ref="V101:V117" si="21">TRUNC(P101,10)</f>
        <v>#VALUE!</v>
      </c>
      <c r="W101" s="82" t="e">
        <f t="shared" ref="W101:W117" si="22">V101-$L$11</f>
        <v>#VALUE!</v>
      </c>
      <c r="X101" s="55">
        <f t="shared" ref="X101:X117" si="23">FREQUENCY($B$19:$B$218,W101)</f>
        <v>0</v>
      </c>
      <c r="Y101" s="55">
        <f t="shared" si="14"/>
        <v>0</v>
      </c>
      <c r="Z101" s="55" t="e">
        <f t="shared" ref="Z101:Z117" si="24">IF($B$12=3,0,ABS(V101-$P$64))</f>
        <v>#VALUE!</v>
      </c>
      <c r="AA101" s="55" t="e">
        <f t="shared" ref="AA101:AA117" si="25">IF($B$12=4,0,ABS(V101-$P$61))</f>
        <v>#VALUE!</v>
      </c>
      <c r="AB101" s="55" t="e">
        <f t="shared" ref="AB101:AB117" si="26">IF(OR(AND(Z101&lt;Z100,Z101&lt;=Z102),AND(AA101&lt;AA100,AA101&lt;=AA102)),1,0)</f>
        <v>#VALUE!</v>
      </c>
      <c r="AD101" s="32"/>
      <c r="AO101" s="55"/>
      <c r="AP101" s="32"/>
      <c r="AQ101" s="55"/>
      <c r="AR101" s="55"/>
      <c r="BH101" s="55"/>
      <c r="BI101" s="55"/>
      <c r="BJ101" s="55"/>
    </row>
    <row r="102" spans="1:62">
      <c r="A102" s="47">
        <v>84</v>
      </c>
      <c r="L102" s="114" t="e">
        <f t="shared" ref="L102:L133" si="27">L101+$L$68</f>
        <v>#VALUE!</v>
      </c>
      <c r="M102" s="29" t="e">
        <f t="shared" si="15"/>
        <v>#VALUE!</v>
      </c>
      <c r="N102" s="55" t="e">
        <f t="shared" si="16"/>
        <v>#VALUE!</v>
      </c>
      <c r="O102" s="55">
        <v>33</v>
      </c>
      <c r="P102" s="82" t="e">
        <f t="shared" si="13"/>
        <v>#VALUE!</v>
      </c>
      <c r="Q102" s="55" t="e">
        <f t="shared" si="17"/>
        <v>#VALUE!</v>
      </c>
      <c r="R102" s="55"/>
      <c r="S102" s="115" t="e">
        <f t="shared" si="18"/>
        <v>#VALUE!</v>
      </c>
      <c r="T102" s="55" t="e">
        <f t="shared" si="19"/>
        <v>#VALUE!</v>
      </c>
      <c r="U102" s="55" t="e">
        <f t="shared" si="20"/>
        <v>#VALUE!</v>
      </c>
      <c r="V102" s="82" t="e">
        <f t="shared" si="21"/>
        <v>#VALUE!</v>
      </c>
      <c r="W102" s="82" t="e">
        <f t="shared" si="22"/>
        <v>#VALUE!</v>
      </c>
      <c r="X102" s="55">
        <f t="shared" si="23"/>
        <v>0</v>
      </c>
      <c r="Y102" s="55">
        <f t="shared" si="14"/>
        <v>0</v>
      </c>
      <c r="Z102" s="55" t="e">
        <f t="shared" si="24"/>
        <v>#VALUE!</v>
      </c>
      <c r="AA102" s="55" t="e">
        <f t="shared" si="25"/>
        <v>#VALUE!</v>
      </c>
      <c r="AB102" s="55" t="e">
        <f t="shared" si="26"/>
        <v>#VALUE!</v>
      </c>
      <c r="AD102" s="32"/>
      <c r="AO102" s="55"/>
      <c r="AP102" s="32"/>
      <c r="AQ102" s="55"/>
      <c r="AR102" s="55"/>
      <c r="BH102" s="55"/>
      <c r="BI102" s="55"/>
      <c r="BJ102" s="55"/>
    </row>
    <row r="103" spans="1:62">
      <c r="A103" s="47">
        <v>85</v>
      </c>
      <c r="L103" s="114" t="e">
        <f t="shared" si="27"/>
        <v>#VALUE!</v>
      </c>
      <c r="M103" s="29" t="e">
        <f t="shared" si="15"/>
        <v>#VALUE!</v>
      </c>
      <c r="N103" s="55" t="e">
        <f t="shared" si="16"/>
        <v>#VALUE!</v>
      </c>
      <c r="O103" s="55">
        <v>34</v>
      </c>
      <c r="P103" s="82" t="e">
        <f t="shared" si="13"/>
        <v>#VALUE!</v>
      </c>
      <c r="Q103" s="55" t="e">
        <f t="shared" si="17"/>
        <v>#VALUE!</v>
      </c>
      <c r="R103" s="55"/>
      <c r="S103" s="115" t="e">
        <f t="shared" si="18"/>
        <v>#VALUE!</v>
      </c>
      <c r="T103" s="55" t="e">
        <f t="shared" si="19"/>
        <v>#VALUE!</v>
      </c>
      <c r="U103" s="55" t="e">
        <f t="shared" si="20"/>
        <v>#VALUE!</v>
      </c>
      <c r="V103" s="82" t="e">
        <f t="shared" si="21"/>
        <v>#VALUE!</v>
      </c>
      <c r="W103" s="82" t="e">
        <f t="shared" si="22"/>
        <v>#VALUE!</v>
      </c>
      <c r="X103" s="55">
        <f t="shared" si="23"/>
        <v>0</v>
      </c>
      <c r="Y103" s="55">
        <f t="shared" si="14"/>
        <v>0</v>
      </c>
      <c r="Z103" s="55" t="e">
        <f t="shared" si="24"/>
        <v>#VALUE!</v>
      </c>
      <c r="AA103" s="55" t="e">
        <f t="shared" si="25"/>
        <v>#VALUE!</v>
      </c>
      <c r="AB103" s="55" t="e">
        <f t="shared" si="26"/>
        <v>#VALUE!</v>
      </c>
      <c r="AD103" s="32"/>
      <c r="AO103" s="55"/>
      <c r="AP103" s="32"/>
      <c r="AQ103" s="55"/>
      <c r="AR103" s="55"/>
      <c r="BH103" s="55"/>
      <c r="BI103" s="55"/>
      <c r="BJ103" s="55"/>
    </row>
    <row r="104" spans="1:62">
      <c r="A104" s="47">
        <v>86</v>
      </c>
      <c r="L104" s="114" t="e">
        <f t="shared" si="27"/>
        <v>#VALUE!</v>
      </c>
      <c r="M104" s="29" t="e">
        <f t="shared" si="15"/>
        <v>#VALUE!</v>
      </c>
      <c r="N104" s="55" t="e">
        <f t="shared" si="16"/>
        <v>#VALUE!</v>
      </c>
      <c r="O104" s="55">
        <v>35</v>
      </c>
      <c r="P104" s="82" t="e">
        <f t="shared" si="13"/>
        <v>#VALUE!</v>
      </c>
      <c r="Q104" s="55" t="e">
        <f t="shared" si="17"/>
        <v>#VALUE!</v>
      </c>
      <c r="R104" s="55"/>
      <c r="S104" s="115" t="e">
        <f t="shared" si="18"/>
        <v>#VALUE!</v>
      </c>
      <c r="T104" s="55" t="e">
        <f t="shared" si="19"/>
        <v>#VALUE!</v>
      </c>
      <c r="U104" s="55" t="e">
        <f t="shared" si="20"/>
        <v>#VALUE!</v>
      </c>
      <c r="V104" s="82" t="e">
        <f t="shared" si="21"/>
        <v>#VALUE!</v>
      </c>
      <c r="W104" s="82" t="e">
        <f t="shared" si="22"/>
        <v>#VALUE!</v>
      </c>
      <c r="X104" s="55">
        <f t="shared" si="23"/>
        <v>0</v>
      </c>
      <c r="Y104" s="55">
        <f t="shared" si="14"/>
        <v>0</v>
      </c>
      <c r="Z104" s="55" t="e">
        <f t="shared" si="24"/>
        <v>#VALUE!</v>
      </c>
      <c r="AA104" s="55" t="e">
        <f t="shared" si="25"/>
        <v>#VALUE!</v>
      </c>
      <c r="AB104" s="55" t="e">
        <f t="shared" si="26"/>
        <v>#VALUE!</v>
      </c>
      <c r="AD104" s="32"/>
      <c r="AO104" s="55"/>
      <c r="AP104" s="32"/>
      <c r="AQ104" s="55"/>
      <c r="AR104" s="55"/>
      <c r="BH104" s="55"/>
      <c r="BI104" s="55"/>
      <c r="BJ104" s="55"/>
    </row>
    <row r="105" spans="1:62">
      <c r="A105" s="47">
        <v>87</v>
      </c>
      <c r="L105" s="114" t="e">
        <f t="shared" si="27"/>
        <v>#VALUE!</v>
      </c>
      <c r="M105" s="29" t="e">
        <f t="shared" si="15"/>
        <v>#VALUE!</v>
      </c>
      <c r="N105" s="55" t="e">
        <f t="shared" si="16"/>
        <v>#VALUE!</v>
      </c>
      <c r="O105" s="55">
        <v>36</v>
      </c>
      <c r="P105" s="82" t="e">
        <f t="shared" si="13"/>
        <v>#VALUE!</v>
      </c>
      <c r="Q105" s="55" t="e">
        <f t="shared" si="17"/>
        <v>#VALUE!</v>
      </c>
      <c r="R105" s="55"/>
      <c r="S105" s="115" t="e">
        <f t="shared" si="18"/>
        <v>#VALUE!</v>
      </c>
      <c r="T105" s="55" t="e">
        <f t="shared" si="19"/>
        <v>#VALUE!</v>
      </c>
      <c r="U105" s="55" t="e">
        <f t="shared" si="20"/>
        <v>#VALUE!</v>
      </c>
      <c r="V105" s="82" t="e">
        <f t="shared" si="21"/>
        <v>#VALUE!</v>
      </c>
      <c r="W105" s="82" t="e">
        <f t="shared" si="22"/>
        <v>#VALUE!</v>
      </c>
      <c r="X105" s="55">
        <f t="shared" si="23"/>
        <v>0</v>
      </c>
      <c r="Y105" s="55">
        <f t="shared" si="14"/>
        <v>0</v>
      </c>
      <c r="Z105" s="55" t="e">
        <f t="shared" si="24"/>
        <v>#VALUE!</v>
      </c>
      <c r="AA105" s="55" t="e">
        <f t="shared" si="25"/>
        <v>#VALUE!</v>
      </c>
      <c r="AB105" s="55" t="e">
        <f t="shared" si="26"/>
        <v>#VALUE!</v>
      </c>
      <c r="AD105" s="32"/>
      <c r="AO105" s="55"/>
      <c r="AP105" s="32"/>
      <c r="AQ105" s="55"/>
      <c r="AR105" s="55"/>
      <c r="BH105" s="55"/>
      <c r="BI105" s="55"/>
      <c r="BJ105" s="55"/>
    </row>
    <row r="106" spans="1:62">
      <c r="A106" s="47">
        <v>88</v>
      </c>
      <c r="L106" s="114" t="e">
        <f t="shared" si="27"/>
        <v>#VALUE!</v>
      </c>
      <c r="M106" s="29" t="e">
        <f t="shared" si="15"/>
        <v>#VALUE!</v>
      </c>
      <c r="N106" s="55" t="e">
        <f t="shared" si="16"/>
        <v>#VALUE!</v>
      </c>
      <c r="O106" s="55">
        <v>37</v>
      </c>
      <c r="P106" s="82" t="e">
        <f t="shared" si="13"/>
        <v>#VALUE!</v>
      </c>
      <c r="Q106" s="55" t="e">
        <f t="shared" si="17"/>
        <v>#VALUE!</v>
      </c>
      <c r="R106" s="55"/>
      <c r="S106" s="115" t="e">
        <f t="shared" si="18"/>
        <v>#VALUE!</v>
      </c>
      <c r="T106" s="55" t="e">
        <f t="shared" si="19"/>
        <v>#VALUE!</v>
      </c>
      <c r="U106" s="55" t="e">
        <f t="shared" si="20"/>
        <v>#VALUE!</v>
      </c>
      <c r="V106" s="82" t="e">
        <f t="shared" si="21"/>
        <v>#VALUE!</v>
      </c>
      <c r="W106" s="82" t="e">
        <f t="shared" si="22"/>
        <v>#VALUE!</v>
      </c>
      <c r="X106" s="55">
        <f t="shared" si="23"/>
        <v>0</v>
      </c>
      <c r="Y106" s="55">
        <f t="shared" si="14"/>
        <v>0</v>
      </c>
      <c r="Z106" s="55" t="e">
        <f t="shared" si="24"/>
        <v>#VALUE!</v>
      </c>
      <c r="AA106" s="55" t="e">
        <f t="shared" si="25"/>
        <v>#VALUE!</v>
      </c>
      <c r="AB106" s="55" t="e">
        <f t="shared" si="26"/>
        <v>#VALUE!</v>
      </c>
      <c r="AD106" s="32"/>
      <c r="AO106" s="55"/>
      <c r="AP106" s="32"/>
      <c r="AQ106" s="55"/>
      <c r="AR106" s="55"/>
      <c r="BH106" s="55"/>
      <c r="BI106" s="55"/>
      <c r="BJ106" s="55"/>
    </row>
    <row r="107" spans="1:62">
      <c r="A107" s="47">
        <v>89</v>
      </c>
      <c r="L107" s="114" t="e">
        <f t="shared" si="27"/>
        <v>#VALUE!</v>
      </c>
      <c r="M107" s="29" t="e">
        <f t="shared" si="15"/>
        <v>#VALUE!</v>
      </c>
      <c r="N107" s="55" t="e">
        <f t="shared" si="16"/>
        <v>#VALUE!</v>
      </c>
      <c r="O107" s="55">
        <v>38</v>
      </c>
      <c r="P107" s="82" t="e">
        <f t="shared" si="13"/>
        <v>#VALUE!</v>
      </c>
      <c r="Q107" s="55" t="e">
        <f t="shared" si="17"/>
        <v>#VALUE!</v>
      </c>
      <c r="R107" s="55"/>
      <c r="S107" s="115" t="e">
        <f t="shared" si="18"/>
        <v>#VALUE!</v>
      </c>
      <c r="T107" s="55" t="e">
        <f t="shared" si="19"/>
        <v>#VALUE!</v>
      </c>
      <c r="U107" s="55" t="e">
        <f t="shared" si="20"/>
        <v>#VALUE!</v>
      </c>
      <c r="V107" s="82" t="e">
        <f t="shared" si="21"/>
        <v>#VALUE!</v>
      </c>
      <c r="W107" s="82" t="e">
        <f t="shared" si="22"/>
        <v>#VALUE!</v>
      </c>
      <c r="X107" s="55">
        <f t="shared" si="23"/>
        <v>0</v>
      </c>
      <c r="Y107" s="55">
        <f t="shared" si="14"/>
        <v>0</v>
      </c>
      <c r="Z107" s="55" t="e">
        <f t="shared" si="24"/>
        <v>#VALUE!</v>
      </c>
      <c r="AA107" s="55" t="e">
        <f t="shared" si="25"/>
        <v>#VALUE!</v>
      </c>
      <c r="AB107" s="55" t="e">
        <f t="shared" si="26"/>
        <v>#VALUE!</v>
      </c>
      <c r="AD107" s="32"/>
      <c r="AO107" s="55"/>
      <c r="AP107" s="32"/>
      <c r="AQ107" s="55"/>
      <c r="AR107" s="55"/>
      <c r="BH107" s="55"/>
      <c r="BI107" s="55"/>
      <c r="BJ107" s="55"/>
    </row>
    <row r="108" spans="1:62">
      <c r="A108" s="47">
        <v>90</v>
      </c>
      <c r="L108" s="114" t="e">
        <f t="shared" si="27"/>
        <v>#VALUE!</v>
      </c>
      <c r="M108" s="29" t="e">
        <f t="shared" si="15"/>
        <v>#VALUE!</v>
      </c>
      <c r="N108" s="55" t="e">
        <f t="shared" si="16"/>
        <v>#VALUE!</v>
      </c>
      <c r="O108" s="55">
        <v>39</v>
      </c>
      <c r="P108" s="82" t="e">
        <f t="shared" si="13"/>
        <v>#VALUE!</v>
      </c>
      <c r="Q108" s="55" t="e">
        <f t="shared" si="17"/>
        <v>#VALUE!</v>
      </c>
      <c r="R108" s="55"/>
      <c r="S108" s="115" t="e">
        <f t="shared" si="18"/>
        <v>#VALUE!</v>
      </c>
      <c r="T108" s="55" t="e">
        <f t="shared" si="19"/>
        <v>#VALUE!</v>
      </c>
      <c r="U108" s="55" t="e">
        <f t="shared" si="20"/>
        <v>#VALUE!</v>
      </c>
      <c r="V108" s="82" t="e">
        <f t="shared" si="21"/>
        <v>#VALUE!</v>
      </c>
      <c r="W108" s="82" t="e">
        <f t="shared" si="22"/>
        <v>#VALUE!</v>
      </c>
      <c r="X108" s="55">
        <f t="shared" si="23"/>
        <v>0</v>
      </c>
      <c r="Y108" s="55">
        <f t="shared" si="14"/>
        <v>0</v>
      </c>
      <c r="Z108" s="55" t="e">
        <f t="shared" si="24"/>
        <v>#VALUE!</v>
      </c>
      <c r="AA108" s="55" t="e">
        <f t="shared" si="25"/>
        <v>#VALUE!</v>
      </c>
      <c r="AB108" s="55" t="e">
        <f t="shared" si="26"/>
        <v>#VALUE!</v>
      </c>
      <c r="AD108" s="32"/>
      <c r="AO108" s="55"/>
      <c r="AP108" s="32"/>
      <c r="AQ108" s="55"/>
      <c r="AR108" s="55"/>
      <c r="BH108" s="55"/>
      <c r="BI108" s="55"/>
      <c r="BJ108" s="55"/>
    </row>
    <row r="109" spans="1:62">
      <c r="A109" s="47">
        <v>91</v>
      </c>
      <c r="L109" s="114" t="e">
        <f t="shared" si="27"/>
        <v>#VALUE!</v>
      </c>
      <c r="M109" s="29" t="e">
        <f t="shared" si="15"/>
        <v>#VALUE!</v>
      </c>
      <c r="N109" s="55" t="e">
        <f t="shared" si="16"/>
        <v>#VALUE!</v>
      </c>
      <c r="O109" s="55">
        <v>40</v>
      </c>
      <c r="P109" s="82" t="e">
        <f t="shared" si="13"/>
        <v>#VALUE!</v>
      </c>
      <c r="Q109" s="55" t="e">
        <f t="shared" si="17"/>
        <v>#VALUE!</v>
      </c>
      <c r="R109" s="55"/>
      <c r="S109" s="115" t="e">
        <f t="shared" si="18"/>
        <v>#VALUE!</v>
      </c>
      <c r="T109" s="55" t="e">
        <f t="shared" si="19"/>
        <v>#VALUE!</v>
      </c>
      <c r="U109" s="55" t="e">
        <f t="shared" si="20"/>
        <v>#VALUE!</v>
      </c>
      <c r="V109" s="82" t="e">
        <f t="shared" si="21"/>
        <v>#VALUE!</v>
      </c>
      <c r="W109" s="82" t="e">
        <f t="shared" si="22"/>
        <v>#VALUE!</v>
      </c>
      <c r="X109" s="55">
        <f t="shared" si="23"/>
        <v>0</v>
      </c>
      <c r="Y109" s="55">
        <f t="shared" si="14"/>
        <v>0</v>
      </c>
      <c r="Z109" s="55" t="e">
        <f t="shared" si="24"/>
        <v>#VALUE!</v>
      </c>
      <c r="AA109" s="55" t="e">
        <f t="shared" si="25"/>
        <v>#VALUE!</v>
      </c>
      <c r="AB109" s="55" t="e">
        <f t="shared" si="26"/>
        <v>#VALUE!</v>
      </c>
      <c r="AD109" s="32"/>
      <c r="AO109" s="55"/>
      <c r="AP109" s="32"/>
      <c r="AQ109" s="55"/>
      <c r="AR109" s="55"/>
      <c r="BH109" s="55"/>
      <c r="BI109" s="55"/>
      <c r="BJ109" s="55"/>
    </row>
    <row r="110" spans="1:62">
      <c r="A110" s="47">
        <v>92</v>
      </c>
      <c r="L110" s="114" t="e">
        <f t="shared" si="27"/>
        <v>#VALUE!</v>
      </c>
      <c r="M110" s="29" t="e">
        <f t="shared" si="15"/>
        <v>#VALUE!</v>
      </c>
      <c r="N110" s="55" t="e">
        <f t="shared" si="16"/>
        <v>#VALUE!</v>
      </c>
      <c r="O110" s="55">
        <v>41</v>
      </c>
      <c r="P110" s="82" t="e">
        <f t="shared" si="13"/>
        <v>#VALUE!</v>
      </c>
      <c r="Q110" s="55" t="e">
        <f t="shared" si="17"/>
        <v>#VALUE!</v>
      </c>
      <c r="R110" s="55"/>
      <c r="S110" s="115" t="e">
        <f t="shared" si="18"/>
        <v>#VALUE!</v>
      </c>
      <c r="T110" s="55" t="e">
        <f t="shared" si="19"/>
        <v>#VALUE!</v>
      </c>
      <c r="U110" s="55" t="e">
        <f t="shared" si="20"/>
        <v>#VALUE!</v>
      </c>
      <c r="V110" s="82" t="e">
        <f t="shared" si="21"/>
        <v>#VALUE!</v>
      </c>
      <c r="W110" s="82" t="e">
        <f t="shared" si="22"/>
        <v>#VALUE!</v>
      </c>
      <c r="X110" s="55">
        <f t="shared" si="23"/>
        <v>0</v>
      </c>
      <c r="Y110" s="55">
        <f t="shared" si="14"/>
        <v>0</v>
      </c>
      <c r="Z110" s="55" t="e">
        <f t="shared" si="24"/>
        <v>#VALUE!</v>
      </c>
      <c r="AA110" s="55" t="e">
        <f t="shared" si="25"/>
        <v>#VALUE!</v>
      </c>
      <c r="AB110" s="55" t="e">
        <f t="shared" si="26"/>
        <v>#VALUE!</v>
      </c>
      <c r="AD110" s="32"/>
      <c r="AO110" s="55"/>
      <c r="AP110" s="32"/>
      <c r="AQ110" s="55"/>
      <c r="AR110" s="55"/>
      <c r="BH110" s="55"/>
      <c r="BI110" s="55"/>
      <c r="BJ110" s="55"/>
    </row>
    <row r="111" spans="1:62">
      <c r="A111" s="47">
        <v>93</v>
      </c>
      <c r="L111" s="114" t="e">
        <f t="shared" si="27"/>
        <v>#VALUE!</v>
      </c>
      <c r="M111" s="29" t="e">
        <f t="shared" si="15"/>
        <v>#VALUE!</v>
      </c>
      <c r="N111" s="55" t="e">
        <f t="shared" si="16"/>
        <v>#VALUE!</v>
      </c>
      <c r="O111" s="55">
        <v>42</v>
      </c>
      <c r="P111" s="82" t="e">
        <f t="shared" si="13"/>
        <v>#VALUE!</v>
      </c>
      <c r="Q111" s="55" t="e">
        <f t="shared" si="17"/>
        <v>#VALUE!</v>
      </c>
      <c r="R111" s="55"/>
      <c r="S111" s="115" t="e">
        <f t="shared" si="18"/>
        <v>#VALUE!</v>
      </c>
      <c r="T111" s="55" t="e">
        <f t="shared" si="19"/>
        <v>#VALUE!</v>
      </c>
      <c r="U111" s="55" t="e">
        <f t="shared" si="20"/>
        <v>#VALUE!</v>
      </c>
      <c r="V111" s="82" t="e">
        <f t="shared" si="21"/>
        <v>#VALUE!</v>
      </c>
      <c r="W111" s="82" t="e">
        <f t="shared" si="22"/>
        <v>#VALUE!</v>
      </c>
      <c r="X111" s="55">
        <f t="shared" si="23"/>
        <v>0</v>
      </c>
      <c r="Y111" s="55">
        <f t="shared" si="14"/>
        <v>0</v>
      </c>
      <c r="Z111" s="55" t="e">
        <f t="shared" si="24"/>
        <v>#VALUE!</v>
      </c>
      <c r="AA111" s="55" t="e">
        <f t="shared" si="25"/>
        <v>#VALUE!</v>
      </c>
      <c r="AB111" s="55" t="e">
        <f t="shared" si="26"/>
        <v>#VALUE!</v>
      </c>
      <c r="AD111" s="32"/>
      <c r="AO111" s="55"/>
      <c r="AP111" s="32"/>
      <c r="AQ111" s="55"/>
      <c r="AR111" s="55"/>
      <c r="BH111" s="55"/>
      <c r="BI111" s="55"/>
      <c r="BJ111" s="55"/>
    </row>
    <row r="112" spans="1:62">
      <c r="A112" s="47">
        <v>94</v>
      </c>
      <c r="L112" s="114" t="e">
        <f t="shared" si="27"/>
        <v>#VALUE!</v>
      </c>
      <c r="M112" s="29" t="e">
        <f t="shared" si="15"/>
        <v>#VALUE!</v>
      </c>
      <c r="N112" s="55" t="e">
        <f t="shared" si="16"/>
        <v>#VALUE!</v>
      </c>
      <c r="O112" s="55">
        <v>43</v>
      </c>
      <c r="P112" s="82" t="e">
        <f t="shared" si="13"/>
        <v>#VALUE!</v>
      </c>
      <c r="Q112" s="55" t="e">
        <f t="shared" si="17"/>
        <v>#VALUE!</v>
      </c>
      <c r="R112" s="55"/>
      <c r="S112" s="115" t="e">
        <f t="shared" si="18"/>
        <v>#VALUE!</v>
      </c>
      <c r="T112" s="55" t="e">
        <f t="shared" si="19"/>
        <v>#VALUE!</v>
      </c>
      <c r="U112" s="55" t="e">
        <f t="shared" si="20"/>
        <v>#VALUE!</v>
      </c>
      <c r="V112" s="82" t="e">
        <f t="shared" si="21"/>
        <v>#VALUE!</v>
      </c>
      <c r="W112" s="82" t="e">
        <f t="shared" si="22"/>
        <v>#VALUE!</v>
      </c>
      <c r="X112" s="55">
        <f t="shared" si="23"/>
        <v>0</v>
      </c>
      <c r="Y112" s="55">
        <f t="shared" si="14"/>
        <v>0</v>
      </c>
      <c r="Z112" s="55" t="e">
        <f t="shared" si="24"/>
        <v>#VALUE!</v>
      </c>
      <c r="AA112" s="55" t="e">
        <f t="shared" si="25"/>
        <v>#VALUE!</v>
      </c>
      <c r="AB112" s="55" t="e">
        <f t="shared" si="26"/>
        <v>#VALUE!</v>
      </c>
      <c r="AD112" s="32"/>
      <c r="AO112" s="55"/>
      <c r="AP112" s="32"/>
      <c r="AQ112" s="55"/>
      <c r="AR112" s="55"/>
      <c r="BH112" s="55"/>
      <c r="BI112" s="55"/>
      <c r="BJ112" s="55"/>
    </row>
    <row r="113" spans="1:62">
      <c r="A113" s="47">
        <v>95</v>
      </c>
      <c r="L113" s="114" t="e">
        <f t="shared" si="27"/>
        <v>#VALUE!</v>
      </c>
      <c r="M113" s="29" t="e">
        <f t="shared" si="15"/>
        <v>#VALUE!</v>
      </c>
      <c r="N113" s="55" t="e">
        <f t="shared" si="16"/>
        <v>#VALUE!</v>
      </c>
      <c r="O113" s="55">
        <v>44</v>
      </c>
      <c r="P113" s="82" t="e">
        <f t="shared" si="13"/>
        <v>#VALUE!</v>
      </c>
      <c r="Q113" s="55" t="e">
        <f t="shared" si="17"/>
        <v>#VALUE!</v>
      </c>
      <c r="R113" s="55"/>
      <c r="S113" s="115" t="e">
        <f t="shared" si="18"/>
        <v>#VALUE!</v>
      </c>
      <c r="T113" s="55" t="e">
        <f t="shared" si="19"/>
        <v>#VALUE!</v>
      </c>
      <c r="U113" s="55" t="e">
        <f t="shared" si="20"/>
        <v>#VALUE!</v>
      </c>
      <c r="V113" s="82" t="e">
        <f t="shared" si="21"/>
        <v>#VALUE!</v>
      </c>
      <c r="W113" s="82" t="e">
        <f t="shared" si="22"/>
        <v>#VALUE!</v>
      </c>
      <c r="X113" s="55">
        <f t="shared" si="23"/>
        <v>0</v>
      </c>
      <c r="Y113" s="55">
        <f t="shared" si="14"/>
        <v>0</v>
      </c>
      <c r="Z113" s="55" t="e">
        <f t="shared" si="24"/>
        <v>#VALUE!</v>
      </c>
      <c r="AA113" s="55" t="e">
        <f t="shared" si="25"/>
        <v>#VALUE!</v>
      </c>
      <c r="AB113" s="55" t="e">
        <f t="shared" si="26"/>
        <v>#VALUE!</v>
      </c>
      <c r="AD113" s="32"/>
      <c r="AO113" s="55"/>
      <c r="AP113" s="32"/>
      <c r="AQ113" s="55"/>
      <c r="AR113" s="55"/>
      <c r="BH113" s="55"/>
      <c r="BI113" s="55"/>
      <c r="BJ113" s="55"/>
    </row>
    <row r="114" spans="1:62">
      <c r="A114" s="47">
        <v>96</v>
      </c>
      <c r="L114" s="114" t="e">
        <f t="shared" si="27"/>
        <v>#VALUE!</v>
      </c>
      <c r="M114" s="29" t="e">
        <f t="shared" si="15"/>
        <v>#VALUE!</v>
      </c>
      <c r="N114" s="55" t="e">
        <f t="shared" si="16"/>
        <v>#VALUE!</v>
      </c>
      <c r="O114" s="55">
        <v>45</v>
      </c>
      <c r="P114" s="82" t="e">
        <f t="shared" si="13"/>
        <v>#VALUE!</v>
      </c>
      <c r="Q114" s="55" t="e">
        <f t="shared" si="17"/>
        <v>#VALUE!</v>
      </c>
      <c r="R114" s="55"/>
      <c r="S114" s="115" t="e">
        <f t="shared" si="18"/>
        <v>#VALUE!</v>
      </c>
      <c r="T114" s="55" t="e">
        <f t="shared" si="19"/>
        <v>#VALUE!</v>
      </c>
      <c r="U114" s="55" t="e">
        <f t="shared" si="20"/>
        <v>#VALUE!</v>
      </c>
      <c r="V114" s="82" t="e">
        <f t="shared" si="21"/>
        <v>#VALUE!</v>
      </c>
      <c r="W114" s="82" t="e">
        <f t="shared" si="22"/>
        <v>#VALUE!</v>
      </c>
      <c r="X114" s="55">
        <f t="shared" si="23"/>
        <v>0</v>
      </c>
      <c r="Y114" s="55">
        <f t="shared" si="14"/>
        <v>0</v>
      </c>
      <c r="Z114" s="55" t="e">
        <f t="shared" si="24"/>
        <v>#VALUE!</v>
      </c>
      <c r="AA114" s="55" t="e">
        <f t="shared" si="25"/>
        <v>#VALUE!</v>
      </c>
      <c r="AB114" s="55" t="e">
        <f t="shared" si="26"/>
        <v>#VALUE!</v>
      </c>
      <c r="AD114" s="32"/>
      <c r="AO114" s="55"/>
      <c r="AP114" s="32"/>
      <c r="AQ114" s="55"/>
      <c r="AR114" s="55"/>
      <c r="BH114" s="55"/>
      <c r="BI114" s="55"/>
      <c r="BJ114" s="55"/>
    </row>
    <row r="115" spans="1:62">
      <c r="A115" s="47">
        <v>97</v>
      </c>
      <c r="L115" s="114" t="e">
        <f t="shared" si="27"/>
        <v>#VALUE!</v>
      </c>
      <c r="M115" s="29" t="e">
        <f t="shared" si="15"/>
        <v>#VALUE!</v>
      </c>
      <c r="N115" s="55" t="e">
        <f t="shared" si="16"/>
        <v>#VALUE!</v>
      </c>
      <c r="O115" s="55">
        <v>46</v>
      </c>
      <c r="P115" s="82" t="e">
        <f t="shared" si="13"/>
        <v>#VALUE!</v>
      </c>
      <c r="Q115" s="55" t="e">
        <f t="shared" si="17"/>
        <v>#VALUE!</v>
      </c>
      <c r="R115" s="55"/>
      <c r="S115" s="115" t="e">
        <f t="shared" si="18"/>
        <v>#VALUE!</v>
      </c>
      <c r="T115" s="55" t="e">
        <f t="shared" si="19"/>
        <v>#VALUE!</v>
      </c>
      <c r="U115" s="55" t="e">
        <f t="shared" si="20"/>
        <v>#VALUE!</v>
      </c>
      <c r="V115" s="82" t="e">
        <f t="shared" si="21"/>
        <v>#VALUE!</v>
      </c>
      <c r="W115" s="82" t="e">
        <f t="shared" si="22"/>
        <v>#VALUE!</v>
      </c>
      <c r="X115" s="55">
        <f t="shared" si="23"/>
        <v>0</v>
      </c>
      <c r="Y115" s="55">
        <f t="shared" si="14"/>
        <v>0</v>
      </c>
      <c r="Z115" s="55" t="e">
        <f t="shared" si="24"/>
        <v>#VALUE!</v>
      </c>
      <c r="AA115" s="55" t="e">
        <f t="shared" si="25"/>
        <v>#VALUE!</v>
      </c>
      <c r="AB115" s="55" t="e">
        <f t="shared" si="26"/>
        <v>#VALUE!</v>
      </c>
      <c r="AD115" s="32"/>
      <c r="AO115" s="55"/>
      <c r="AP115" s="32"/>
      <c r="AQ115" s="55"/>
      <c r="AR115" s="55"/>
      <c r="BH115" s="55"/>
      <c r="BI115" s="55"/>
      <c r="BJ115" s="55"/>
    </row>
    <row r="116" spans="1:62">
      <c r="A116" s="47">
        <v>98</v>
      </c>
      <c r="L116" s="114" t="e">
        <f t="shared" si="27"/>
        <v>#VALUE!</v>
      </c>
      <c r="M116" s="29" t="e">
        <f t="shared" si="15"/>
        <v>#VALUE!</v>
      </c>
      <c r="N116" s="55" t="e">
        <f t="shared" si="16"/>
        <v>#VALUE!</v>
      </c>
      <c r="O116" s="55">
        <v>47</v>
      </c>
      <c r="P116" s="82" t="e">
        <f t="shared" si="13"/>
        <v>#VALUE!</v>
      </c>
      <c r="Q116" s="55" t="e">
        <f t="shared" si="17"/>
        <v>#VALUE!</v>
      </c>
      <c r="R116" s="55"/>
      <c r="S116" s="115" t="e">
        <f t="shared" si="18"/>
        <v>#VALUE!</v>
      </c>
      <c r="T116" s="55" t="e">
        <f t="shared" si="19"/>
        <v>#VALUE!</v>
      </c>
      <c r="U116" s="55" t="e">
        <f t="shared" si="20"/>
        <v>#VALUE!</v>
      </c>
      <c r="V116" s="82" t="e">
        <f t="shared" si="21"/>
        <v>#VALUE!</v>
      </c>
      <c r="W116" s="82" t="e">
        <f t="shared" si="22"/>
        <v>#VALUE!</v>
      </c>
      <c r="X116" s="55">
        <f t="shared" si="23"/>
        <v>0</v>
      </c>
      <c r="Y116" s="55">
        <f t="shared" si="14"/>
        <v>0</v>
      </c>
      <c r="Z116" s="55" t="e">
        <f t="shared" si="24"/>
        <v>#VALUE!</v>
      </c>
      <c r="AA116" s="55" t="e">
        <f t="shared" si="25"/>
        <v>#VALUE!</v>
      </c>
      <c r="AB116" s="55" t="e">
        <f t="shared" si="26"/>
        <v>#VALUE!</v>
      </c>
      <c r="AD116" s="32"/>
      <c r="AO116" s="55"/>
      <c r="AP116" s="32"/>
      <c r="AQ116" s="55"/>
      <c r="AR116" s="55"/>
      <c r="BH116" s="55"/>
      <c r="BI116" s="55"/>
      <c r="BJ116" s="55"/>
    </row>
    <row r="117" spans="1:62">
      <c r="A117" s="47">
        <v>99</v>
      </c>
      <c r="L117" s="114" t="e">
        <f t="shared" si="27"/>
        <v>#VALUE!</v>
      </c>
      <c r="M117" s="29" t="e">
        <f t="shared" si="15"/>
        <v>#VALUE!</v>
      </c>
      <c r="N117" s="55" t="e">
        <f t="shared" si="16"/>
        <v>#VALUE!</v>
      </c>
      <c r="O117" s="55">
        <v>48</v>
      </c>
      <c r="P117" s="82" t="e">
        <f t="shared" si="13"/>
        <v>#VALUE!</v>
      </c>
      <c r="Q117" s="55" t="e">
        <f t="shared" si="17"/>
        <v>#VALUE!</v>
      </c>
      <c r="R117" s="55"/>
      <c r="S117" s="115" t="e">
        <f t="shared" si="18"/>
        <v>#VALUE!</v>
      </c>
      <c r="T117" s="55" t="e">
        <f t="shared" si="19"/>
        <v>#VALUE!</v>
      </c>
      <c r="U117" s="55" t="e">
        <f t="shared" si="20"/>
        <v>#VALUE!</v>
      </c>
      <c r="V117" s="82" t="e">
        <f t="shared" si="21"/>
        <v>#VALUE!</v>
      </c>
      <c r="W117" s="82" t="e">
        <f t="shared" si="22"/>
        <v>#VALUE!</v>
      </c>
      <c r="X117" s="55">
        <f t="shared" si="23"/>
        <v>0</v>
      </c>
      <c r="Y117" s="55">
        <f t="shared" si="14"/>
        <v>0</v>
      </c>
      <c r="Z117" s="55" t="e">
        <f t="shared" si="24"/>
        <v>#VALUE!</v>
      </c>
      <c r="AA117" s="55" t="e">
        <f t="shared" si="25"/>
        <v>#VALUE!</v>
      </c>
      <c r="AB117" s="55" t="e">
        <f t="shared" si="26"/>
        <v>#VALUE!</v>
      </c>
      <c r="AD117" s="32"/>
      <c r="AO117" s="55"/>
      <c r="AP117" s="32"/>
      <c r="AQ117" s="55"/>
      <c r="AR117" s="55"/>
      <c r="BH117" s="55"/>
      <c r="BI117" s="55"/>
      <c r="BJ117" s="55"/>
    </row>
    <row r="118" spans="1:62">
      <c r="A118" s="47">
        <v>100</v>
      </c>
      <c r="L118" s="114" t="e">
        <f t="shared" si="27"/>
        <v>#VALUE!</v>
      </c>
      <c r="M118" s="29" t="e">
        <f t="shared" si="15"/>
        <v>#VALUE!</v>
      </c>
      <c r="N118" s="55" t="e">
        <f t="shared" si="16"/>
        <v>#VALUE!</v>
      </c>
      <c r="O118" s="55">
        <v>49</v>
      </c>
      <c r="P118" s="55"/>
      <c r="Q118" s="55"/>
      <c r="R118" s="55" t="e">
        <f>ABS(V117)</f>
        <v>#VALUE!</v>
      </c>
      <c r="S118" s="55" t="e">
        <f>IF(R118&lt;10,1,IF(AND(R118&gt;=10,R118&lt;100),2,IF(AND(R118&gt;=100,R118&lt;1000),3,IF(AND(R118&gt;=1000,R118&lt;10000),4,5))))</f>
        <v>#VALUE!</v>
      </c>
      <c r="T118" s="55"/>
      <c r="U118" s="55"/>
      <c r="V118" s="55"/>
      <c r="W118" s="55"/>
      <c r="X118" s="55">
        <f>X117</f>
        <v>0</v>
      </c>
      <c r="Y118" s="55"/>
      <c r="Z118" s="55"/>
      <c r="AA118" s="55"/>
      <c r="AB118" s="55"/>
      <c r="AD118" s="32"/>
      <c r="AO118" s="55"/>
      <c r="AP118" s="32"/>
      <c r="AQ118" s="55"/>
      <c r="AR118" s="55"/>
      <c r="BH118" s="55"/>
      <c r="BI118" s="55"/>
      <c r="BJ118" s="55"/>
    </row>
    <row r="119" spans="1:62">
      <c r="A119" s="47">
        <v>101</v>
      </c>
      <c r="L119" s="114" t="e">
        <f t="shared" si="27"/>
        <v>#VALUE!</v>
      </c>
      <c r="M119" s="29" t="e">
        <f t="shared" si="15"/>
        <v>#VALUE!</v>
      </c>
      <c r="N119" s="55" t="e">
        <f t="shared" si="16"/>
        <v>#VALUE!</v>
      </c>
      <c r="O119" s="55">
        <v>50</v>
      </c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D119" s="32"/>
      <c r="AO119" s="55"/>
      <c r="AP119" s="32"/>
      <c r="AQ119" s="55"/>
      <c r="AR119" s="55"/>
      <c r="BH119" s="55"/>
      <c r="BI119" s="55"/>
      <c r="BJ119" s="55"/>
    </row>
    <row r="120" spans="1:62">
      <c r="A120" s="47">
        <v>102</v>
      </c>
      <c r="L120" s="114" t="e">
        <f t="shared" si="27"/>
        <v>#VALUE!</v>
      </c>
      <c r="M120" s="29" t="e">
        <f t="shared" si="15"/>
        <v>#VALUE!</v>
      </c>
      <c r="N120" s="55" t="e">
        <f t="shared" si="16"/>
        <v>#VALUE!</v>
      </c>
      <c r="O120" s="55">
        <v>51</v>
      </c>
      <c r="AD120" s="32"/>
      <c r="AO120" s="55"/>
      <c r="AP120" s="32"/>
      <c r="AQ120" s="55"/>
      <c r="AR120" s="55"/>
      <c r="BH120" s="55"/>
      <c r="BI120" s="55"/>
      <c r="BJ120" s="55"/>
    </row>
    <row r="121" spans="1:62">
      <c r="A121" s="47">
        <v>103</v>
      </c>
      <c r="L121" s="114" t="e">
        <f t="shared" si="27"/>
        <v>#VALUE!</v>
      </c>
      <c r="M121" s="29" t="e">
        <f t="shared" si="15"/>
        <v>#VALUE!</v>
      </c>
      <c r="N121" s="55" t="e">
        <f t="shared" si="16"/>
        <v>#VALUE!</v>
      </c>
      <c r="O121" s="55">
        <v>52</v>
      </c>
      <c r="Q121" s="32"/>
      <c r="R121" s="55"/>
      <c r="S121" s="55"/>
      <c r="T121" s="55"/>
      <c r="U121" s="55"/>
      <c r="AA121" s="55"/>
      <c r="AB121" s="55"/>
      <c r="AD121" s="32"/>
      <c r="AO121" s="55"/>
      <c r="AP121" s="32"/>
      <c r="AQ121" s="55"/>
      <c r="AR121" s="55"/>
      <c r="BH121" s="55"/>
      <c r="BI121" s="55"/>
      <c r="BJ121" s="55"/>
    </row>
    <row r="122" spans="1:62">
      <c r="A122" s="47">
        <v>104</v>
      </c>
      <c r="L122" s="114" t="e">
        <f t="shared" si="27"/>
        <v>#VALUE!</v>
      </c>
      <c r="M122" s="29" t="e">
        <f t="shared" si="15"/>
        <v>#VALUE!</v>
      </c>
      <c r="N122" s="55" t="e">
        <f t="shared" si="16"/>
        <v>#VALUE!</v>
      </c>
      <c r="O122" s="55">
        <v>53</v>
      </c>
      <c r="AD122" s="32"/>
      <c r="AO122" s="55"/>
      <c r="AP122" s="32"/>
      <c r="AQ122" s="55"/>
      <c r="AR122" s="55"/>
      <c r="BH122" s="55"/>
      <c r="BI122" s="55"/>
      <c r="BJ122" s="55"/>
    </row>
    <row r="123" spans="1:62">
      <c r="A123" s="47">
        <v>105</v>
      </c>
      <c r="L123" s="114" t="e">
        <f t="shared" si="27"/>
        <v>#VALUE!</v>
      </c>
      <c r="M123" s="29" t="e">
        <f t="shared" si="15"/>
        <v>#VALUE!</v>
      </c>
      <c r="N123" s="55" t="e">
        <f t="shared" si="16"/>
        <v>#VALUE!</v>
      </c>
      <c r="O123" s="55">
        <v>54</v>
      </c>
      <c r="AD123" s="32"/>
      <c r="AO123" s="55"/>
      <c r="AP123" s="32"/>
      <c r="AQ123" s="55"/>
      <c r="AR123" s="55"/>
      <c r="BH123" s="55"/>
      <c r="BI123" s="55"/>
      <c r="BJ123" s="55"/>
    </row>
    <row r="124" spans="1:62">
      <c r="A124" s="47">
        <v>106</v>
      </c>
      <c r="L124" s="114" t="e">
        <f t="shared" si="27"/>
        <v>#VALUE!</v>
      </c>
      <c r="M124" s="29" t="e">
        <f t="shared" si="15"/>
        <v>#VALUE!</v>
      </c>
      <c r="N124" s="55" t="e">
        <f t="shared" si="16"/>
        <v>#VALUE!</v>
      </c>
      <c r="O124" s="55">
        <v>55</v>
      </c>
      <c r="AD124" s="32"/>
      <c r="AO124" s="55"/>
      <c r="AP124" s="32"/>
      <c r="AQ124" s="55"/>
      <c r="AR124" s="55"/>
      <c r="BH124" s="55"/>
      <c r="BI124" s="55"/>
      <c r="BJ124" s="55"/>
    </row>
    <row r="125" spans="1:62">
      <c r="A125" s="47">
        <v>107</v>
      </c>
      <c r="L125" s="114" t="e">
        <f t="shared" si="27"/>
        <v>#VALUE!</v>
      </c>
      <c r="M125" s="29" t="e">
        <f t="shared" si="15"/>
        <v>#VALUE!</v>
      </c>
      <c r="N125" s="55" t="e">
        <f t="shared" si="16"/>
        <v>#VALUE!</v>
      </c>
      <c r="O125" s="55">
        <v>56</v>
      </c>
      <c r="AD125" s="32"/>
      <c r="AO125" s="55"/>
      <c r="AP125" s="32"/>
      <c r="AQ125" s="55"/>
      <c r="AR125" s="55"/>
      <c r="BH125" s="55"/>
      <c r="BI125" s="55"/>
      <c r="BJ125" s="55"/>
    </row>
    <row r="126" spans="1:62">
      <c r="A126" s="47">
        <v>108</v>
      </c>
      <c r="L126" s="114" t="e">
        <f t="shared" si="27"/>
        <v>#VALUE!</v>
      </c>
      <c r="M126" s="29" t="e">
        <f t="shared" si="15"/>
        <v>#VALUE!</v>
      </c>
      <c r="N126" s="55" t="e">
        <f t="shared" si="16"/>
        <v>#VALUE!</v>
      </c>
      <c r="O126" s="55">
        <v>57</v>
      </c>
      <c r="AD126" s="32"/>
      <c r="AO126" s="55"/>
      <c r="AP126" s="32"/>
      <c r="AQ126" s="55"/>
      <c r="AR126" s="55"/>
      <c r="BH126" s="55"/>
      <c r="BI126" s="55"/>
      <c r="BJ126" s="55"/>
    </row>
    <row r="127" spans="1:62">
      <c r="A127" s="47">
        <v>109</v>
      </c>
      <c r="L127" s="114" t="e">
        <f t="shared" si="27"/>
        <v>#VALUE!</v>
      </c>
      <c r="M127" s="29" t="e">
        <f t="shared" si="15"/>
        <v>#VALUE!</v>
      </c>
      <c r="N127" s="55" t="e">
        <f t="shared" si="16"/>
        <v>#VALUE!</v>
      </c>
      <c r="O127" s="55">
        <v>58</v>
      </c>
      <c r="AD127" s="32"/>
      <c r="AO127" s="55"/>
      <c r="AP127" s="32"/>
      <c r="AQ127" s="55"/>
      <c r="AR127" s="55"/>
      <c r="BH127" s="55"/>
      <c r="BI127" s="55"/>
      <c r="BJ127" s="55"/>
    </row>
    <row r="128" spans="1:62">
      <c r="A128" s="47">
        <v>110</v>
      </c>
      <c r="G128" s="97"/>
      <c r="L128" s="114" t="e">
        <f t="shared" si="27"/>
        <v>#VALUE!</v>
      </c>
      <c r="M128" s="29" t="e">
        <f t="shared" si="15"/>
        <v>#VALUE!</v>
      </c>
      <c r="N128" s="55" t="e">
        <f t="shared" si="16"/>
        <v>#VALUE!</v>
      </c>
      <c r="O128" s="55">
        <v>59</v>
      </c>
      <c r="AD128" s="32"/>
      <c r="AO128" s="55"/>
      <c r="AP128" s="32"/>
      <c r="AQ128" s="55"/>
      <c r="AR128" s="55"/>
      <c r="BH128" s="55"/>
      <c r="BI128" s="55"/>
      <c r="BJ128" s="55"/>
    </row>
    <row r="129" spans="1:62">
      <c r="A129" s="47">
        <v>111</v>
      </c>
      <c r="L129" s="114" t="e">
        <f t="shared" si="27"/>
        <v>#VALUE!</v>
      </c>
      <c r="M129" s="29" t="e">
        <f t="shared" si="15"/>
        <v>#VALUE!</v>
      </c>
      <c r="N129" s="55" t="e">
        <f t="shared" si="16"/>
        <v>#VALUE!</v>
      </c>
      <c r="O129" s="55">
        <v>60</v>
      </c>
      <c r="AD129" s="32"/>
      <c r="AO129" s="55"/>
      <c r="AP129" s="32"/>
      <c r="AQ129" s="55"/>
      <c r="AR129" s="55"/>
      <c r="BH129" s="55"/>
      <c r="BI129" s="55"/>
      <c r="BJ129" s="55"/>
    </row>
    <row r="130" spans="1:62">
      <c r="A130" s="47">
        <v>112</v>
      </c>
      <c r="I130" s="97"/>
      <c r="L130" s="114" t="e">
        <f t="shared" si="27"/>
        <v>#VALUE!</v>
      </c>
      <c r="M130" s="29" t="e">
        <f t="shared" si="15"/>
        <v>#VALUE!</v>
      </c>
      <c r="N130" s="55" t="e">
        <f t="shared" si="16"/>
        <v>#VALUE!</v>
      </c>
      <c r="O130" s="55">
        <v>61</v>
      </c>
      <c r="AD130" s="32"/>
      <c r="AO130" s="55"/>
      <c r="AP130" s="32"/>
      <c r="AQ130" s="55"/>
      <c r="AR130" s="55"/>
      <c r="BH130" s="55"/>
      <c r="BI130" s="55"/>
      <c r="BJ130" s="55"/>
    </row>
    <row r="131" spans="1:62">
      <c r="A131" s="47">
        <v>113</v>
      </c>
      <c r="I131" s="97"/>
      <c r="L131" s="114" t="e">
        <f t="shared" si="27"/>
        <v>#VALUE!</v>
      </c>
      <c r="M131" s="29" t="e">
        <f t="shared" si="15"/>
        <v>#VALUE!</v>
      </c>
      <c r="N131" s="55" t="e">
        <f t="shared" si="16"/>
        <v>#VALUE!</v>
      </c>
      <c r="O131" s="55">
        <v>62</v>
      </c>
      <c r="AD131" s="32"/>
      <c r="AO131" s="55"/>
      <c r="AP131" s="32"/>
      <c r="AQ131" s="55"/>
      <c r="AR131" s="55"/>
      <c r="BH131" s="55"/>
      <c r="BI131" s="55"/>
      <c r="BJ131" s="55"/>
    </row>
    <row r="132" spans="1:62">
      <c r="A132" s="47">
        <v>114</v>
      </c>
      <c r="L132" s="114" t="e">
        <f t="shared" si="27"/>
        <v>#VALUE!</v>
      </c>
      <c r="M132" s="29" t="e">
        <f t="shared" si="15"/>
        <v>#VALUE!</v>
      </c>
      <c r="N132" s="55" t="e">
        <f t="shared" si="16"/>
        <v>#VALUE!</v>
      </c>
      <c r="O132" s="55">
        <v>63</v>
      </c>
      <c r="AD132" s="32"/>
      <c r="AO132" s="55"/>
      <c r="AP132" s="32"/>
      <c r="AQ132" s="55"/>
      <c r="AR132" s="55"/>
      <c r="BH132" s="55"/>
      <c r="BI132" s="55"/>
      <c r="BJ132" s="55"/>
    </row>
    <row r="133" spans="1:62">
      <c r="A133" s="47">
        <v>115</v>
      </c>
      <c r="L133" s="114" t="e">
        <f t="shared" si="27"/>
        <v>#VALUE!</v>
      </c>
      <c r="M133" s="29" t="e">
        <f t="shared" ref="M133:M164" si="28">IF(N133&lt;0," ",N133)</f>
        <v>#VALUE!</v>
      </c>
      <c r="N133" s="55" t="e">
        <f t="shared" ref="N133:N164" si="29">(0.39894228/$E$33)*EXP(-((L133-$E$32)^2)/(2*$E$33^2))*(1-0.5*$L$36*((L133-$E$32)/$E$33-(L133-$E$32)^3/(3*$E$33^3)))</f>
        <v>#VALUE!</v>
      </c>
      <c r="O133" s="55">
        <v>64</v>
      </c>
      <c r="AD133" s="32"/>
      <c r="AO133" s="55"/>
      <c r="AP133" s="32"/>
      <c r="AQ133" s="55"/>
      <c r="AR133" s="55"/>
      <c r="BH133" s="55"/>
      <c r="BI133" s="55"/>
      <c r="BJ133" s="55"/>
    </row>
    <row r="134" spans="1:62">
      <c r="A134" s="47">
        <v>116</v>
      </c>
      <c r="L134" s="114" t="e">
        <f t="shared" ref="L134:L165" si="30">L133+$L$68</f>
        <v>#VALUE!</v>
      </c>
      <c r="M134" s="29" t="e">
        <f t="shared" si="28"/>
        <v>#VALUE!</v>
      </c>
      <c r="N134" s="55" t="e">
        <f t="shared" si="29"/>
        <v>#VALUE!</v>
      </c>
      <c r="O134" s="55">
        <v>65</v>
      </c>
      <c r="AD134" s="32"/>
      <c r="AO134" s="55"/>
      <c r="AP134" s="32"/>
      <c r="AQ134" s="55"/>
      <c r="AR134" s="55"/>
      <c r="BH134" s="55"/>
      <c r="BI134" s="55"/>
      <c r="BJ134" s="55"/>
    </row>
    <row r="135" spans="1:62">
      <c r="A135" s="47">
        <v>117</v>
      </c>
      <c r="L135" s="114" t="e">
        <f t="shared" si="30"/>
        <v>#VALUE!</v>
      </c>
      <c r="M135" s="29" t="e">
        <f t="shared" si="28"/>
        <v>#VALUE!</v>
      </c>
      <c r="N135" s="55" t="e">
        <f t="shared" si="29"/>
        <v>#VALUE!</v>
      </c>
      <c r="O135" s="55">
        <v>66</v>
      </c>
      <c r="AD135" s="32"/>
      <c r="AO135" s="55"/>
      <c r="AP135" s="32"/>
      <c r="AQ135" s="55"/>
      <c r="AR135" s="55"/>
      <c r="BH135" s="55"/>
      <c r="BI135" s="55"/>
      <c r="BJ135" s="55"/>
    </row>
    <row r="136" spans="1:62">
      <c r="A136" s="47">
        <v>118</v>
      </c>
      <c r="L136" s="114" t="e">
        <f t="shared" si="30"/>
        <v>#VALUE!</v>
      </c>
      <c r="M136" s="29" t="e">
        <f t="shared" si="28"/>
        <v>#VALUE!</v>
      </c>
      <c r="N136" s="55" t="e">
        <f t="shared" si="29"/>
        <v>#VALUE!</v>
      </c>
      <c r="O136" s="55">
        <v>67</v>
      </c>
      <c r="AD136" s="32"/>
      <c r="AO136" s="55"/>
      <c r="AP136" s="32"/>
      <c r="AQ136" s="55"/>
      <c r="AR136" s="55"/>
      <c r="BH136" s="55"/>
      <c r="BI136" s="55"/>
      <c r="BJ136" s="55"/>
    </row>
    <row r="137" spans="1:62">
      <c r="A137" s="47">
        <v>119</v>
      </c>
      <c r="L137" s="114" t="e">
        <f t="shared" si="30"/>
        <v>#VALUE!</v>
      </c>
      <c r="M137" s="29" t="e">
        <f t="shared" si="28"/>
        <v>#VALUE!</v>
      </c>
      <c r="N137" s="55" t="e">
        <f t="shared" si="29"/>
        <v>#VALUE!</v>
      </c>
      <c r="O137" s="55">
        <v>68</v>
      </c>
      <c r="AD137" s="32"/>
      <c r="AO137" s="55"/>
      <c r="AP137" s="32"/>
      <c r="AQ137" s="55"/>
      <c r="AR137" s="55"/>
      <c r="BH137" s="55"/>
      <c r="BI137" s="55"/>
      <c r="BJ137" s="55"/>
    </row>
    <row r="138" spans="1:62">
      <c r="A138" s="47">
        <v>120</v>
      </c>
      <c r="L138" s="114" t="e">
        <f t="shared" si="30"/>
        <v>#VALUE!</v>
      </c>
      <c r="M138" s="29" t="e">
        <f t="shared" si="28"/>
        <v>#VALUE!</v>
      </c>
      <c r="N138" s="55" t="e">
        <f t="shared" si="29"/>
        <v>#VALUE!</v>
      </c>
      <c r="O138" s="55">
        <v>69</v>
      </c>
      <c r="AD138" s="32"/>
      <c r="AO138" s="55"/>
      <c r="AP138" s="32"/>
      <c r="AQ138" s="55"/>
      <c r="AR138" s="55"/>
      <c r="BH138" s="55"/>
      <c r="BI138" s="55"/>
      <c r="BJ138" s="55"/>
    </row>
    <row r="139" spans="1:62">
      <c r="A139" s="47">
        <v>121</v>
      </c>
      <c r="L139" s="114" t="e">
        <f t="shared" si="30"/>
        <v>#VALUE!</v>
      </c>
      <c r="M139" s="29" t="e">
        <f t="shared" si="28"/>
        <v>#VALUE!</v>
      </c>
      <c r="N139" s="55" t="e">
        <f t="shared" si="29"/>
        <v>#VALUE!</v>
      </c>
      <c r="O139" s="55">
        <v>70</v>
      </c>
      <c r="AD139" s="32"/>
      <c r="AO139" s="55"/>
      <c r="AP139" s="32"/>
      <c r="AQ139" s="55"/>
      <c r="AR139" s="55"/>
      <c r="BH139" s="55"/>
      <c r="BI139" s="55"/>
      <c r="BJ139" s="55"/>
    </row>
    <row r="140" spans="1:62">
      <c r="A140" s="47">
        <v>122</v>
      </c>
      <c r="L140" s="114" t="e">
        <f t="shared" si="30"/>
        <v>#VALUE!</v>
      </c>
      <c r="M140" s="29" t="e">
        <f t="shared" si="28"/>
        <v>#VALUE!</v>
      </c>
      <c r="N140" s="55" t="e">
        <f t="shared" si="29"/>
        <v>#VALUE!</v>
      </c>
      <c r="O140" s="55">
        <v>71</v>
      </c>
      <c r="AD140" s="32"/>
      <c r="AO140" s="55"/>
      <c r="AP140" s="32"/>
      <c r="AQ140" s="55"/>
      <c r="AR140" s="55"/>
      <c r="BH140" s="55"/>
      <c r="BI140" s="55"/>
      <c r="BJ140" s="55"/>
    </row>
    <row r="141" spans="1:62">
      <c r="A141" s="47">
        <v>123</v>
      </c>
      <c r="L141" s="114" t="e">
        <f t="shared" si="30"/>
        <v>#VALUE!</v>
      </c>
      <c r="M141" s="29" t="e">
        <f t="shared" si="28"/>
        <v>#VALUE!</v>
      </c>
      <c r="N141" s="55" t="e">
        <f t="shared" si="29"/>
        <v>#VALUE!</v>
      </c>
      <c r="O141" s="55">
        <v>72</v>
      </c>
      <c r="AD141" s="32"/>
      <c r="AO141" s="55"/>
      <c r="AP141" s="32"/>
      <c r="AQ141" s="55"/>
      <c r="AR141" s="55"/>
      <c r="BH141" s="55"/>
      <c r="BI141" s="55"/>
      <c r="BJ141" s="55"/>
    </row>
    <row r="142" spans="1:62">
      <c r="A142" s="47">
        <v>124</v>
      </c>
      <c r="L142" s="114" t="e">
        <f t="shared" si="30"/>
        <v>#VALUE!</v>
      </c>
      <c r="M142" s="29" t="e">
        <f t="shared" si="28"/>
        <v>#VALUE!</v>
      </c>
      <c r="N142" s="55" t="e">
        <f t="shared" si="29"/>
        <v>#VALUE!</v>
      </c>
      <c r="O142" s="55">
        <v>73</v>
      </c>
      <c r="AD142" s="32"/>
      <c r="AO142" s="55"/>
      <c r="AP142" s="32"/>
      <c r="AQ142" s="55"/>
      <c r="AR142" s="55"/>
      <c r="BH142" s="55"/>
      <c r="BI142" s="55"/>
      <c r="BJ142" s="55"/>
    </row>
    <row r="143" spans="1:62">
      <c r="A143" s="47">
        <v>125</v>
      </c>
      <c r="L143" s="114" t="e">
        <f t="shared" si="30"/>
        <v>#VALUE!</v>
      </c>
      <c r="M143" s="29" t="e">
        <f t="shared" si="28"/>
        <v>#VALUE!</v>
      </c>
      <c r="N143" s="55" t="e">
        <f t="shared" si="29"/>
        <v>#VALUE!</v>
      </c>
      <c r="O143" s="55">
        <v>74</v>
      </c>
      <c r="AD143" s="32"/>
      <c r="AO143" s="55"/>
      <c r="AP143" s="32"/>
      <c r="AQ143" s="55"/>
      <c r="AR143" s="55"/>
      <c r="BH143" s="55"/>
      <c r="BI143" s="55"/>
      <c r="BJ143" s="55"/>
    </row>
    <row r="144" spans="1:62">
      <c r="A144" s="47">
        <v>126</v>
      </c>
      <c r="L144" s="114" t="e">
        <f t="shared" si="30"/>
        <v>#VALUE!</v>
      </c>
      <c r="M144" s="29" t="e">
        <f t="shared" si="28"/>
        <v>#VALUE!</v>
      </c>
      <c r="N144" s="55" t="e">
        <f t="shared" si="29"/>
        <v>#VALUE!</v>
      </c>
      <c r="O144" s="55">
        <v>75</v>
      </c>
      <c r="AD144" s="32"/>
      <c r="AO144" s="55"/>
      <c r="AP144" s="32"/>
      <c r="AQ144" s="55"/>
      <c r="AR144" s="55"/>
      <c r="BH144" s="55"/>
      <c r="BI144" s="55"/>
      <c r="BJ144" s="55"/>
    </row>
    <row r="145" spans="1:62">
      <c r="A145" s="47">
        <v>127</v>
      </c>
      <c r="L145" s="114" t="e">
        <f t="shared" si="30"/>
        <v>#VALUE!</v>
      </c>
      <c r="M145" s="29" t="e">
        <f t="shared" si="28"/>
        <v>#VALUE!</v>
      </c>
      <c r="N145" s="55" t="e">
        <f t="shared" si="29"/>
        <v>#VALUE!</v>
      </c>
      <c r="O145" s="55">
        <v>76</v>
      </c>
      <c r="AD145" s="32"/>
      <c r="AO145" s="55"/>
      <c r="AP145" s="32"/>
      <c r="AQ145" s="55"/>
      <c r="AR145" s="55"/>
      <c r="BH145" s="55"/>
      <c r="BI145" s="55"/>
      <c r="BJ145" s="55"/>
    </row>
    <row r="146" spans="1:62">
      <c r="A146" s="47">
        <v>128</v>
      </c>
      <c r="L146" s="114" t="e">
        <f t="shared" si="30"/>
        <v>#VALUE!</v>
      </c>
      <c r="M146" s="29" t="e">
        <f t="shared" si="28"/>
        <v>#VALUE!</v>
      </c>
      <c r="N146" s="55" t="e">
        <f t="shared" si="29"/>
        <v>#VALUE!</v>
      </c>
      <c r="O146" s="55">
        <v>77</v>
      </c>
      <c r="AD146" s="32"/>
      <c r="AO146" s="55"/>
      <c r="AP146" s="32"/>
      <c r="AQ146" s="55"/>
      <c r="AR146" s="55"/>
      <c r="BH146" s="55"/>
      <c r="BI146" s="55"/>
      <c r="BJ146" s="55"/>
    </row>
    <row r="147" spans="1:62">
      <c r="A147" s="47">
        <v>129</v>
      </c>
      <c r="L147" s="114" t="e">
        <f t="shared" si="30"/>
        <v>#VALUE!</v>
      </c>
      <c r="M147" s="29" t="e">
        <f t="shared" si="28"/>
        <v>#VALUE!</v>
      </c>
      <c r="N147" s="55" t="e">
        <f t="shared" si="29"/>
        <v>#VALUE!</v>
      </c>
      <c r="O147" s="55">
        <v>78</v>
      </c>
      <c r="AD147" s="32"/>
      <c r="AO147" s="55"/>
      <c r="AP147" s="32"/>
      <c r="AQ147" s="55"/>
      <c r="AR147" s="55"/>
      <c r="BH147" s="55"/>
      <c r="BI147" s="55"/>
      <c r="BJ147" s="55"/>
    </row>
    <row r="148" spans="1:62">
      <c r="A148" s="47">
        <v>130</v>
      </c>
      <c r="L148" s="114" t="e">
        <f t="shared" si="30"/>
        <v>#VALUE!</v>
      </c>
      <c r="M148" s="29" t="e">
        <f t="shared" si="28"/>
        <v>#VALUE!</v>
      </c>
      <c r="N148" s="55" t="e">
        <f t="shared" si="29"/>
        <v>#VALUE!</v>
      </c>
      <c r="O148" s="55">
        <v>79</v>
      </c>
      <c r="AD148" s="32"/>
      <c r="AO148" s="55"/>
      <c r="AP148" s="32"/>
      <c r="AQ148" s="55"/>
      <c r="AR148" s="55"/>
      <c r="BH148" s="55"/>
      <c r="BI148" s="55"/>
      <c r="BJ148" s="55"/>
    </row>
    <row r="149" spans="1:62">
      <c r="A149" s="47">
        <v>131</v>
      </c>
      <c r="L149" s="114" t="e">
        <f t="shared" si="30"/>
        <v>#VALUE!</v>
      </c>
      <c r="M149" s="29" t="e">
        <f t="shared" si="28"/>
        <v>#VALUE!</v>
      </c>
      <c r="N149" s="55" t="e">
        <f t="shared" si="29"/>
        <v>#VALUE!</v>
      </c>
      <c r="O149" s="55">
        <v>80</v>
      </c>
      <c r="AD149" s="32"/>
      <c r="AO149" s="55"/>
      <c r="AP149" s="32"/>
      <c r="AQ149" s="55"/>
      <c r="AR149" s="55"/>
      <c r="BH149" s="55"/>
      <c r="BI149" s="55"/>
      <c r="BJ149" s="55"/>
    </row>
    <row r="150" spans="1:62">
      <c r="A150" s="47">
        <v>132</v>
      </c>
      <c r="L150" s="114" t="e">
        <f t="shared" si="30"/>
        <v>#VALUE!</v>
      </c>
      <c r="M150" s="29" t="e">
        <f t="shared" si="28"/>
        <v>#VALUE!</v>
      </c>
      <c r="N150" s="55" t="e">
        <f t="shared" si="29"/>
        <v>#VALUE!</v>
      </c>
      <c r="O150" s="55">
        <v>81</v>
      </c>
      <c r="AC150" s="32"/>
      <c r="AD150" s="32"/>
      <c r="AO150" s="55"/>
      <c r="AP150" s="32"/>
      <c r="AQ150" s="55"/>
      <c r="AR150" s="55"/>
      <c r="BH150" s="55"/>
      <c r="BI150" s="55"/>
      <c r="BJ150" s="55"/>
    </row>
    <row r="151" spans="1:62">
      <c r="A151" s="47">
        <v>133</v>
      </c>
      <c r="L151" s="114" t="e">
        <f t="shared" si="30"/>
        <v>#VALUE!</v>
      </c>
      <c r="M151" s="29" t="e">
        <f t="shared" si="28"/>
        <v>#VALUE!</v>
      </c>
      <c r="N151" s="55" t="e">
        <f t="shared" si="29"/>
        <v>#VALUE!</v>
      </c>
      <c r="O151" s="55">
        <v>82</v>
      </c>
      <c r="AD151" s="32"/>
      <c r="AO151" s="55"/>
      <c r="AP151" s="32"/>
      <c r="AQ151" s="55"/>
      <c r="AR151" s="55"/>
      <c r="BH151" s="55"/>
      <c r="BI151" s="55"/>
      <c r="BJ151" s="55"/>
    </row>
    <row r="152" spans="1:62">
      <c r="A152" s="47">
        <v>134</v>
      </c>
      <c r="L152" s="114" t="e">
        <f t="shared" si="30"/>
        <v>#VALUE!</v>
      </c>
      <c r="M152" s="29" t="e">
        <f t="shared" si="28"/>
        <v>#VALUE!</v>
      </c>
      <c r="N152" s="55" t="e">
        <f t="shared" si="29"/>
        <v>#VALUE!</v>
      </c>
      <c r="O152" s="55">
        <v>83</v>
      </c>
      <c r="AD152" s="32"/>
      <c r="AO152" s="55"/>
      <c r="AP152" s="32"/>
      <c r="AQ152" s="55"/>
      <c r="AR152" s="55"/>
      <c r="BH152" s="55"/>
      <c r="BI152" s="55"/>
      <c r="BJ152" s="55"/>
    </row>
    <row r="153" spans="1:62">
      <c r="A153" s="47">
        <v>135</v>
      </c>
      <c r="L153" s="114" t="e">
        <f t="shared" si="30"/>
        <v>#VALUE!</v>
      </c>
      <c r="M153" s="29" t="e">
        <f t="shared" si="28"/>
        <v>#VALUE!</v>
      </c>
      <c r="N153" s="55" t="e">
        <f t="shared" si="29"/>
        <v>#VALUE!</v>
      </c>
      <c r="O153" s="55">
        <v>84</v>
      </c>
      <c r="AD153" s="32"/>
      <c r="AO153" s="55"/>
      <c r="AP153" s="32"/>
      <c r="AQ153" s="55"/>
      <c r="AR153" s="55"/>
      <c r="BH153" s="55"/>
      <c r="BI153" s="55"/>
      <c r="BJ153" s="55"/>
    </row>
    <row r="154" spans="1:62">
      <c r="A154" s="47">
        <v>136</v>
      </c>
      <c r="L154" s="114" t="e">
        <f t="shared" si="30"/>
        <v>#VALUE!</v>
      </c>
      <c r="M154" s="29" t="e">
        <f t="shared" si="28"/>
        <v>#VALUE!</v>
      </c>
      <c r="N154" s="55" t="e">
        <f t="shared" si="29"/>
        <v>#VALUE!</v>
      </c>
      <c r="O154" s="55">
        <v>85</v>
      </c>
      <c r="AD154" s="32"/>
      <c r="AO154" s="55"/>
      <c r="AP154" s="32"/>
      <c r="AQ154" s="55"/>
      <c r="AR154" s="55"/>
      <c r="BH154" s="55"/>
      <c r="BI154" s="55"/>
      <c r="BJ154" s="55"/>
    </row>
    <row r="155" spans="1:62">
      <c r="A155" s="47">
        <v>137</v>
      </c>
      <c r="L155" s="114" t="e">
        <f t="shared" si="30"/>
        <v>#VALUE!</v>
      </c>
      <c r="M155" s="29" t="e">
        <f t="shared" si="28"/>
        <v>#VALUE!</v>
      </c>
      <c r="N155" s="55" t="e">
        <f t="shared" si="29"/>
        <v>#VALUE!</v>
      </c>
      <c r="O155" s="55">
        <v>86</v>
      </c>
      <c r="AD155" s="32"/>
      <c r="AO155" s="55"/>
      <c r="AP155" s="32"/>
      <c r="AQ155" s="55"/>
      <c r="AR155" s="55"/>
      <c r="BH155" s="55"/>
      <c r="BI155" s="55"/>
      <c r="BJ155" s="55"/>
    </row>
    <row r="156" spans="1:62">
      <c r="A156" s="47">
        <v>138</v>
      </c>
      <c r="L156" s="114" t="e">
        <f t="shared" si="30"/>
        <v>#VALUE!</v>
      </c>
      <c r="M156" s="29" t="e">
        <f t="shared" si="28"/>
        <v>#VALUE!</v>
      </c>
      <c r="N156" s="55" t="e">
        <f t="shared" si="29"/>
        <v>#VALUE!</v>
      </c>
      <c r="O156" s="55">
        <v>87</v>
      </c>
      <c r="AD156" s="32"/>
      <c r="AO156" s="55"/>
      <c r="AP156" s="32"/>
      <c r="AQ156" s="55"/>
      <c r="AR156" s="55"/>
      <c r="BH156" s="55"/>
      <c r="BI156" s="55"/>
      <c r="BJ156" s="55"/>
    </row>
    <row r="157" spans="1:62">
      <c r="A157" s="47">
        <v>139</v>
      </c>
      <c r="L157" s="114" t="e">
        <f t="shared" si="30"/>
        <v>#VALUE!</v>
      </c>
      <c r="M157" s="29" t="e">
        <f t="shared" si="28"/>
        <v>#VALUE!</v>
      </c>
      <c r="N157" s="55" t="e">
        <f t="shared" si="29"/>
        <v>#VALUE!</v>
      </c>
      <c r="O157" s="55">
        <v>88</v>
      </c>
      <c r="AD157" s="32"/>
      <c r="AO157" s="55"/>
      <c r="AP157" s="32"/>
      <c r="AQ157" s="55"/>
      <c r="AR157" s="55"/>
      <c r="BH157" s="55"/>
      <c r="BI157" s="55"/>
      <c r="BJ157" s="55"/>
    </row>
    <row r="158" spans="1:62">
      <c r="A158" s="47">
        <v>140</v>
      </c>
      <c r="L158" s="114" t="e">
        <f t="shared" si="30"/>
        <v>#VALUE!</v>
      </c>
      <c r="M158" s="29" t="e">
        <f t="shared" si="28"/>
        <v>#VALUE!</v>
      </c>
      <c r="N158" s="55" t="e">
        <f t="shared" si="29"/>
        <v>#VALUE!</v>
      </c>
      <c r="O158" s="55">
        <v>89</v>
      </c>
      <c r="AD158" s="32"/>
      <c r="AO158" s="55"/>
      <c r="AP158" s="32"/>
      <c r="AQ158" s="55"/>
      <c r="AR158" s="55"/>
      <c r="BH158" s="55"/>
      <c r="BI158" s="55"/>
      <c r="BJ158" s="55"/>
    </row>
    <row r="159" spans="1:62">
      <c r="A159" s="47">
        <v>141</v>
      </c>
      <c r="L159" s="114" t="e">
        <f t="shared" si="30"/>
        <v>#VALUE!</v>
      </c>
      <c r="M159" s="29" t="e">
        <f t="shared" si="28"/>
        <v>#VALUE!</v>
      </c>
      <c r="N159" s="55" t="e">
        <f t="shared" si="29"/>
        <v>#VALUE!</v>
      </c>
      <c r="O159" s="55">
        <v>90</v>
      </c>
      <c r="AD159" s="32"/>
      <c r="AO159" s="55"/>
      <c r="AP159" s="32"/>
      <c r="AQ159" s="55"/>
      <c r="AR159" s="55"/>
      <c r="BH159" s="55"/>
      <c r="BI159" s="55"/>
      <c r="BJ159" s="55"/>
    </row>
    <row r="160" spans="1:62">
      <c r="A160" s="47">
        <v>142</v>
      </c>
      <c r="L160" s="114" t="e">
        <f t="shared" si="30"/>
        <v>#VALUE!</v>
      </c>
      <c r="M160" s="29" t="e">
        <f t="shared" si="28"/>
        <v>#VALUE!</v>
      </c>
      <c r="N160" s="55" t="e">
        <f t="shared" si="29"/>
        <v>#VALUE!</v>
      </c>
      <c r="O160" s="55">
        <v>91</v>
      </c>
      <c r="AD160" s="32"/>
      <c r="AO160" s="55"/>
      <c r="AP160" s="32"/>
      <c r="AQ160" s="55"/>
      <c r="AR160" s="55"/>
      <c r="BH160" s="55"/>
      <c r="BI160" s="55"/>
      <c r="BJ160" s="55"/>
    </row>
    <row r="161" spans="1:62">
      <c r="A161" s="47">
        <v>143</v>
      </c>
      <c r="L161" s="114" t="e">
        <f t="shared" si="30"/>
        <v>#VALUE!</v>
      </c>
      <c r="M161" s="29" t="e">
        <f t="shared" si="28"/>
        <v>#VALUE!</v>
      </c>
      <c r="N161" s="55" t="e">
        <f t="shared" si="29"/>
        <v>#VALUE!</v>
      </c>
      <c r="O161" s="55">
        <v>92</v>
      </c>
      <c r="AD161" s="32"/>
      <c r="AO161" s="55"/>
      <c r="AP161" s="32"/>
      <c r="AQ161" s="55"/>
      <c r="AR161" s="55"/>
      <c r="BH161" s="55"/>
      <c r="BI161" s="55"/>
      <c r="BJ161" s="55"/>
    </row>
    <row r="162" spans="1:62">
      <c r="A162" s="47">
        <v>144</v>
      </c>
      <c r="L162" s="114" t="e">
        <f t="shared" si="30"/>
        <v>#VALUE!</v>
      </c>
      <c r="M162" s="29" t="e">
        <f t="shared" si="28"/>
        <v>#VALUE!</v>
      </c>
      <c r="N162" s="55" t="e">
        <f t="shared" si="29"/>
        <v>#VALUE!</v>
      </c>
      <c r="O162" s="55">
        <v>93</v>
      </c>
      <c r="AC162" s="32"/>
      <c r="AD162" s="32"/>
      <c r="AO162" s="55"/>
      <c r="AP162" s="32"/>
      <c r="AQ162" s="55"/>
      <c r="AR162" s="55"/>
      <c r="BH162" s="55"/>
      <c r="BI162" s="55"/>
      <c r="BJ162" s="55"/>
    </row>
    <row r="163" spans="1:62">
      <c r="A163" s="47">
        <v>145</v>
      </c>
      <c r="L163" s="114" t="e">
        <f t="shared" si="30"/>
        <v>#VALUE!</v>
      </c>
      <c r="M163" s="29" t="e">
        <f t="shared" si="28"/>
        <v>#VALUE!</v>
      </c>
      <c r="N163" s="55" t="e">
        <f t="shared" si="29"/>
        <v>#VALUE!</v>
      </c>
      <c r="O163" s="55">
        <v>94</v>
      </c>
      <c r="AD163" s="32"/>
      <c r="AO163" s="55"/>
      <c r="AP163" s="32"/>
      <c r="AQ163" s="55"/>
      <c r="AR163" s="55"/>
      <c r="BH163" s="55"/>
      <c r="BI163" s="55"/>
      <c r="BJ163" s="55"/>
    </row>
    <row r="164" spans="1:62">
      <c r="A164" s="47">
        <v>146</v>
      </c>
      <c r="L164" s="114" t="e">
        <f t="shared" si="30"/>
        <v>#VALUE!</v>
      </c>
      <c r="M164" s="29" t="e">
        <f t="shared" si="28"/>
        <v>#VALUE!</v>
      </c>
      <c r="N164" s="55" t="e">
        <f t="shared" si="29"/>
        <v>#VALUE!</v>
      </c>
      <c r="O164" s="55">
        <v>95</v>
      </c>
      <c r="AD164" s="32"/>
      <c r="AO164" s="55"/>
      <c r="AP164" s="32"/>
      <c r="AQ164" s="55"/>
      <c r="AR164" s="55"/>
      <c r="BH164" s="55"/>
      <c r="BI164" s="55"/>
      <c r="BJ164" s="55"/>
    </row>
    <row r="165" spans="1:62">
      <c r="A165" s="47">
        <v>147</v>
      </c>
      <c r="L165" s="114" t="e">
        <f t="shared" si="30"/>
        <v>#VALUE!</v>
      </c>
      <c r="M165" s="29" t="e">
        <f t="shared" ref="M165:M196" si="31">IF(N165&lt;0," ",N165)</f>
        <v>#VALUE!</v>
      </c>
      <c r="N165" s="55" t="e">
        <f t="shared" ref="N165:N196" si="32">(0.39894228/$E$33)*EXP(-((L165-$E$32)^2)/(2*$E$33^2))*(1-0.5*$L$36*((L165-$E$32)/$E$33-(L165-$E$32)^3/(3*$E$33^3)))</f>
        <v>#VALUE!</v>
      </c>
      <c r="O165" s="55">
        <v>96</v>
      </c>
      <c r="AD165" s="32"/>
      <c r="AO165" s="55"/>
      <c r="AP165" s="32"/>
      <c r="AQ165" s="55"/>
      <c r="AR165" s="55"/>
      <c r="BH165" s="55"/>
      <c r="BI165" s="55"/>
      <c r="BJ165" s="55"/>
    </row>
    <row r="166" spans="1:30">
      <c r="A166" s="47">
        <v>148</v>
      </c>
      <c r="L166" s="114" t="e">
        <f t="shared" ref="L166:L197" si="33">L165+$L$68</f>
        <v>#VALUE!</v>
      </c>
      <c r="M166" s="29" t="e">
        <f t="shared" si="31"/>
        <v>#VALUE!</v>
      </c>
      <c r="N166" s="55" t="e">
        <f t="shared" si="32"/>
        <v>#VALUE!</v>
      </c>
      <c r="O166" s="55">
        <v>97</v>
      </c>
      <c r="AD166" s="32"/>
    </row>
    <row r="167" spans="1:62">
      <c r="A167" s="47">
        <v>149</v>
      </c>
      <c r="L167" s="114" t="e">
        <f t="shared" si="33"/>
        <v>#VALUE!</v>
      </c>
      <c r="M167" s="29" t="e">
        <f t="shared" si="31"/>
        <v>#VALUE!</v>
      </c>
      <c r="N167" s="55" t="e">
        <f t="shared" si="32"/>
        <v>#VALUE!</v>
      </c>
      <c r="O167" s="55">
        <v>98</v>
      </c>
      <c r="AD167" s="32"/>
      <c r="BI167" s="32"/>
      <c r="BJ167" s="32"/>
    </row>
    <row r="168" spans="1:62">
      <c r="A168" s="47">
        <v>150</v>
      </c>
      <c r="L168" s="114" t="e">
        <f t="shared" si="33"/>
        <v>#VALUE!</v>
      </c>
      <c r="M168" s="29" t="e">
        <f t="shared" si="31"/>
        <v>#VALUE!</v>
      </c>
      <c r="N168" s="55" t="e">
        <f t="shared" si="32"/>
        <v>#VALUE!</v>
      </c>
      <c r="O168" s="55">
        <v>99</v>
      </c>
      <c r="AD168" s="32"/>
      <c r="AO168" s="107"/>
      <c r="AR168" s="107"/>
      <c r="BI168" s="55"/>
      <c r="BJ168" s="55"/>
    </row>
    <row r="169" spans="1:44">
      <c r="A169" s="47">
        <v>151</v>
      </c>
      <c r="L169" s="114" t="e">
        <f t="shared" si="33"/>
        <v>#VALUE!</v>
      </c>
      <c r="M169" s="29" t="e">
        <f t="shared" si="31"/>
        <v>#VALUE!</v>
      </c>
      <c r="N169" s="55" t="e">
        <f t="shared" si="32"/>
        <v>#VALUE!</v>
      </c>
      <c r="O169" s="55">
        <v>100</v>
      </c>
      <c r="AD169" s="32"/>
      <c r="AR169" s="55"/>
    </row>
    <row r="170" spans="1:30">
      <c r="A170" s="47">
        <v>152</v>
      </c>
      <c r="L170" s="114" t="e">
        <f t="shared" si="33"/>
        <v>#VALUE!</v>
      </c>
      <c r="M170" s="29" t="e">
        <f t="shared" si="31"/>
        <v>#VALUE!</v>
      </c>
      <c r="N170" s="55" t="e">
        <f t="shared" si="32"/>
        <v>#VALUE!</v>
      </c>
      <c r="O170" s="55">
        <v>101</v>
      </c>
      <c r="AD170" s="32"/>
    </row>
    <row r="171" spans="1:44">
      <c r="A171" s="47">
        <v>153</v>
      </c>
      <c r="L171" s="114" t="e">
        <f t="shared" si="33"/>
        <v>#VALUE!</v>
      </c>
      <c r="M171" s="29" t="e">
        <f t="shared" si="31"/>
        <v>#VALUE!</v>
      </c>
      <c r="N171" s="55" t="e">
        <f t="shared" si="32"/>
        <v>#VALUE!</v>
      </c>
      <c r="O171" s="55">
        <v>102</v>
      </c>
      <c r="AD171" s="32"/>
      <c r="AR171" s="107"/>
    </row>
    <row r="172" spans="1:44">
      <c r="A172" s="47">
        <v>154</v>
      </c>
      <c r="L172" s="114" t="e">
        <f t="shared" si="33"/>
        <v>#VALUE!</v>
      </c>
      <c r="M172" s="29" t="e">
        <f t="shared" si="31"/>
        <v>#VALUE!</v>
      </c>
      <c r="N172" s="55" t="e">
        <f t="shared" si="32"/>
        <v>#VALUE!</v>
      </c>
      <c r="O172" s="55">
        <v>103</v>
      </c>
      <c r="AD172" s="32"/>
      <c r="AR172" s="55"/>
    </row>
    <row r="173" spans="1:30">
      <c r="A173" s="47">
        <v>155</v>
      </c>
      <c r="L173" s="114" t="e">
        <f t="shared" si="33"/>
        <v>#VALUE!</v>
      </c>
      <c r="M173" s="29" t="e">
        <f t="shared" si="31"/>
        <v>#VALUE!</v>
      </c>
      <c r="N173" s="55" t="e">
        <f t="shared" si="32"/>
        <v>#VALUE!</v>
      </c>
      <c r="O173" s="55">
        <v>104</v>
      </c>
      <c r="AD173" s="32"/>
    </row>
    <row r="174" spans="1:30">
      <c r="A174" s="47">
        <v>156</v>
      </c>
      <c r="L174" s="114" t="e">
        <f t="shared" si="33"/>
        <v>#VALUE!</v>
      </c>
      <c r="M174" s="29" t="e">
        <f t="shared" si="31"/>
        <v>#VALUE!</v>
      </c>
      <c r="N174" s="55" t="e">
        <f t="shared" si="32"/>
        <v>#VALUE!</v>
      </c>
      <c r="O174" s="55">
        <v>105</v>
      </c>
      <c r="AC174" s="32"/>
      <c r="AD174" s="32"/>
    </row>
    <row r="175" spans="1:30">
      <c r="A175" s="47">
        <v>157</v>
      </c>
      <c r="L175" s="114" t="e">
        <f t="shared" si="33"/>
        <v>#VALUE!</v>
      </c>
      <c r="M175" s="29" t="e">
        <f t="shared" si="31"/>
        <v>#VALUE!</v>
      </c>
      <c r="N175" s="55" t="e">
        <f t="shared" si="32"/>
        <v>#VALUE!</v>
      </c>
      <c r="O175" s="55">
        <v>106</v>
      </c>
      <c r="AD175" s="32"/>
    </row>
    <row r="176" spans="1:30">
      <c r="A176" s="47">
        <v>158</v>
      </c>
      <c r="L176" s="114" t="e">
        <f t="shared" si="33"/>
        <v>#VALUE!</v>
      </c>
      <c r="M176" s="29" t="e">
        <f t="shared" si="31"/>
        <v>#VALUE!</v>
      </c>
      <c r="N176" s="55" t="e">
        <f t="shared" si="32"/>
        <v>#VALUE!</v>
      </c>
      <c r="O176" s="55">
        <v>107</v>
      </c>
      <c r="AD176" s="32"/>
    </row>
    <row r="177" spans="1:30">
      <c r="A177" s="47">
        <v>159</v>
      </c>
      <c r="L177" s="114" t="e">
        <f t="shared" si="33"/>
        <v>#VALUE!</v>
      </c>
      <c r="M177" s="29" t="e">
        <f t="shared" si="31"/>
        <v>#VALUE!</v>
      </c>
      <c r="N177" s="55" t="e">
        <f t="shared" si="32"/>
        <v>#VALUE!</v>
      </c>
      <c r="O177" s="55">
        <v>108</v>
      </c>
      <c r="AD177" s="32"/>
    </row>
    <row r="178" spans="1:30">
      <c r="A178" s="47">
        <v>160</v>
      </c>
      <c r="L178" s="114" t="e">
        <f t="shared" si="33"/>
        <v>#VALUE!</v>
      </c>
      <c r="M178" s="29" t="e">
        <f t="shared" si="31"/>
        <v>#VALUE!</v>
      </c>
      <c r="N178" s="55" t="e">
        <f t="shared" si="32"/>
        <v>#VALUE!</v>
      </c>
      <c r="O178" s="55">
        <v>109</v>
      </c>
      <c r="AD178" s="32"/>
    </row>
    <row r="179" spans="1:30">
      <c r="A179" s="47">
        <v>161</v>
      </c>
      <c r="L179" s="114" t="e">
        <f t="shared" si="33"/>
        <v>#VALUE!</v>
      </c>
      <c r="M179" s="29" t="e">
        <f t="shared" si="31"/>
        <v>#VALUE!</v>
      </c>
      <c r="N179" s="55" t="e">
        <f t="shared" si="32"/>
        <v>#VALUE!</v>
      </c>
      <c r="O179" s="55">
        <v>110</v>
      </c>
      <c r="AD179" s="32"/>
    </row>
    <row r="180" spans="1:30">
      <c r="A180" s="47">
        <v>162</v>
      </c>
      <c r="L180" s="114" t="e">
        <f t="shared" si="33"/>
        <v>#VALUE!</v>
      </c>
      <c r="M180" s="29" t="e">
        <f t="shared" si="31"/>
        <v>#VALUE!</v>
      </c>
      <c r="N180" s="55" t="e">
        <f t="shared" si="32"/>
        <v>#VALUE!</v>
      </c>
      <c r="O180" s="55">
        <v>111</v>
      </c>
      <c r="AD180" s="32"/>
    </row>
    <row r="181" spans="1:30">
      <c r="A181" s="47">
        <v>163</v>
      </c>
      <c r="L181" s="114" t="e">
        <f t="shared" si="33"/>
        <v>#VALUE!</v>
      </c>
      <c r="M181" s="29" t="e">
        <f t="shared" si="31"/>
        <v>#VALUE!</v>
      </c>
      <c r="N181" s="55" t="e">
        <f t="shared" si="32"/>
        <v>#VALUE!</v>
      </c>
      <c r="O181" s="55">
        <v>112</v>
      </c>
      <c r="AD181" s="32"/>
    </row>
    <row r="182" spans="1:30">
      <c r="A182" s="47">
        <v>164</v>
      </c>
      <c r="L182" s="114" t="e">
        <f t="shared" si="33"/>
        <v>#VALUE!</v>
      </c>
      <c r="M182" s="29" t="e">
        <f t="shared" si="31"/>
        <v>#VALUE!</v>
      </c>
      <c r="N182" s="55" t="e">
        <f t="shared" si="32"/>
        <v>#VALUE!</v>
      </c>
      <c r="O182" s="55">
        <v>113</v>
      </c>
      <c r="AD182" s="32"/>
    </row>
    <row r="183" spans="1:30">
      <c r="A183" s="47">
        <v>165</v>
      </c>
      <c r="L183" s="114" t="e">
        <f t="shared" si="33"/>
        <v>#VALUE!</v>
      </c>
      <c r="M183" s="29" t="e">
        <f t="shared" si="31"/>
        <v>#VALUE!</v>
      </c>
      <c r="N183" s="55" t="e">
        <f t="shared" si="32"/>
        <v>#VALUE!</v>
      </c>
      <c r="O183" s="55">
        <v>114</v>
      </c>
      <c r="AD183" s="32"/>
    </row>
    <row r="184" spans="1:30">
      <c r="A184" s="47">
        <v>166</v>
      </c>
      <c r="L184" s="114" t="e">
        <f t="shared" si="33"/>
        <v>#VALUE!</v>
      </c>
      <c r="M184" s="29" t="e">
        <f t="shared" si="31"/>
        <v>#VALUE!</v>
      </c>
      <c r="N184" s="55" t="e">
        <f t="shared" si="32"/>
        <v>#VALUE!</v>
      </c>
      <c r="O184" s="55">
        <v>115</v>
      </c>
      <c r="AD184" s="32"/>
    </row>
    <row r="185" spans="1:30">
      <c r="A185" s="47">
        <v>167</v>
      </c>
      <c r="L185" s="114" t="e">
        <f t="shared" si="33"/>
        <v>#VALUE!</v>
      </c>
      <c r="M185" s="29" t="e">
        <f t="shared" si="31"/>
        <v>#VALUE!</v>
      </c>
      <c r="N185" s="55" t="e">
        <f t="shared" si="32"/>
        <v>#VALUE!</v>
      </c>
      <c r="O185" s="55">
        <v>116</v>
      </c>
      <c r="AD185" s="32"/>
    </row>
    <row r="186" spans="1:30">
      <c r="A186" s="47">
        <v>168</v>
      </c>
      <c r="L186" s="114" t="e">
        <f t="shared" si="33"/>
        <v>#VALUE!</v>
      </c>
      <c r="M186" s="29" t="e">
        <f t="shared" si="31"/>
        <v>#VALUE!</v>
      </c>
      <c r="N186" s="55" t="e">
        <f t="shared" si="32"/>
        <v>#VALUE!</v>
      </c>
      <c r="O186" s="55">
        <v>117</v>
      </c>
      <c r="AC186" s="32"/>
      <c r="AD186" s="32"/>
    </row>
    <row r="187" spans="1:30">
      <c r="A187" s="47">
        <v>169</v>
      </c>
      <c r="L187" s="114" t="e">
        <f t="shared" si="33"/>
        <v>#VALUE!</v>
      </c>
      <c r="M187" s="29" t="e">
        <f t="shared" si="31"/>
        <v>#VALUE!</v>
      </c>
      <c r="N187" s="55" t="e">
        <f t="shared" si="32"/>
        <v>#VALUE!</v>
      </c>
      <c r="O187" s="55">
        <v>118</v>
      </c>
      <c r="AD187" s="32"/>
    </row>
    <row r="188" spans="1:30">
      <c r="A188" s="47">
        <v>170</v>
      </c>
      <c r="L188" s="114" t="e">
        <f t="shared" si="33"/>
        <v>#VALUE!</v>
      </c>
      <c r="M188" s="29" t="e">
        <f t="shared" si="31"/>
        <v>#VALUE!</v>
      </c>
      <c r="N188" s="55" t="e">
        <f t="shared" si="32"/>
        <v>#VALUE!</v>
      </c>
      <c r="O188" s="55">
        <v>119</v>
      </c>
      <c r="AD188" s="32"/>
    </row>
    <row r="189" spans="1:30">
      <c r="A189" s="47">
        <v>171</v>
      </c>
      <c r="L189" s="114" t="e">
        <f t="shared" si="33"/>
        <v>#VALUE!</v>
      </c>
      <c r="M189" s="29" t="e">
        <f t="shared" si="31"/>
        <v>#VALUE!</v>
      </c>
      <c r="N189" s="55" t="e">
        <f t="shared" si="32"/>
        <v>#VALUE!</v>
      </c>
      <c r="O189" s="55">
        <v>120</v>
      </c>
      <c r="AD189" s="32"/>
    </row>
    <row r="190" spans="1:30">
      <c r="A190" s="47">
        <v>172</v>
      </c>
      <c r="L190" s="114" t="e">
        <f t="shared" si="33"/>
        <v>#VALUE!</v>
      </c>
      <c r="M190" s="29" t="e">
        <f t="shared" si="31"/>
        <v>#VALUE!</v>
      </c>
      <c r="N190" s="55" t="e">
        <f t="shared" si="32"/>
        <v>#VALUE!</v>
      </c>
      <c r="O190" s="55">
        <v>121</v>
      </c>
      <c r="AD190" s="32"/>
    </row>
    <row r="191" spans="1:30">
      <c r="A191" s="47">
        <v>173</v>
      </c>
      <c r="L191" s="114" t="e">
        <f t="shared" si="33"/>
        <v>#VALUE!</v>
      </c>
      <c r="M191" s="29" t="e">
        <f t="shared" si="31"/>
        <v>#VALUE!</v>
      </c>
      <c r="N191" s="55" t="e">
        <f t="shared" si="32"/>
        <v>#VALUE!</v>
      </c>
      <c r="O191" s="55">
        <v>122</v>
      </c>
      <c r="AD191" s="32"/>
    </row>
    <row r="192" spans="1:30">
      <c r="A192" s="47">
        <v>174</v>
      </c>
      <c r="L192" s="114" t="e">
        <f t="shared" si="33"/>
        <v>#VALUE!</v>
      </c>
      <c r="M192" s="29" t="e">
        <f t="shared" si="31"/>
        <v>#VALUE!</v>
      </c>
      <c r="N192" s="55" t="e">
        <f t="shared" si="32"/>
        <v>#VALUE!</v>
      </c>
      <c r="O192" s="55">
        <v>123</v>
      </c>
      <c r="AD192" s="32"/>
    </row>
    <row r="193" spans="1:30">
      <c r="A193" s="47">
        <v>175</v>
      </c>
      <c r="L193" s="114" t="e">
        <f t="shared" si="33"/>
        <v>#VALUE!</v>
      </c>
      <c r="M193" s="29" t="e">
        <f t="shared" si="31"/>
        <v>#VALUE!</v>
      </c>
      <c r="N193" s="55" t="e">
        <f t="shared" si="32"/>
        <v>#VALUE!</v>
      </c>
      <c r="O193" s="55">
        <v>124</v>
      </c>
      <c r="AD193" s="32"/>
    </row>
    <row r="194" spans="1:30">
      <c r="A194" s="47">
        <v>176</v>
      </c>
      <c r="L194" s="114" t="e">
        <f t="shared" si="33"/>
        <v>#VALUE!</v>
      </c>
      <c r="M194" s="29" t="e">
        <f t="shared" si="31"/>
        <v>#VALUE!</v>
      </c>
      <c r="N194" s="55" t="e">
        <f t="shared" si="32"/>
        <v>#VALUE!</v>
      </c>
      <c r="O194" s="55">
        <v>125</v>
      </c>
      <c r="AD194" s="32"/>
    </row>
    <row r="195" spans="1:30">
      <c r="A195" s="47">
        <v>177</v>
      </c>
      <c r="L195" s="114" t="e">
        <f t="shared" si="33"/>
        <v>#VALUE!</v>
      </c>
      <c r="M195" s="29" t="e">
        <f t="shared" si="31"/>
        <v>#VALUE!</v>
      </c>
      <c r="N195" s="55" t="e">
        <f t="shared" si="32"/>
        <v>#VALUE!</v>
      </c>
      <c r="O195" s="55">
        <v>126</v>
      </c>
      <c r="AD195" s="32"/>
    </row>
    <row r="196" spans="1:30">
      <c r="A196" s="47">
        <v>178</v>
      </c>
      <c r="L196" s="114" t="e">
        <f t="shared" si="33"/>
        <v>#VALUE!</v>
      </c>
      <c r="M196" s="29" t="e">
        <f t="shared" si="31"/>
        <v>#VALUE!</v>
      </c>
      <c r="N196" s="55" t="e">
        <f t="shared" si="32"/>
        <v>#VALUE!</v>
      </c>
      <c r="O196" s="55">
        <v>127</v>
      </c>
      <c r="AD196" s="32"/>
    </row>
    <row r="197" spans="1:30">
      <c r="A197" s="47">
        <v>179</v>
      </c>
      <c r="L197" s="114" t="e">
        <f t="shared" si="33"/>
        <v>#VALUE!</v>
      </c>
      <c r="M197" s="29" t="e">
        <f t="shared" ref="M197:M228" si="34">IF(N197&lt;0," ",N197)</f>
        <v>#VALUE!</v>
      </c>
      <c r="N197" s="55" t="e">
        <f t="shared" ref="N197:N228" si="35">(0.39894228/$E$33)*EXP(-((L197-$E$32)^2)/(2*$E$33^2))*(1-0.5*$L$36*((L197-$E$32)/$E$33-(L197-$E$32)^3/(3*$E$33^3)))</f>
        <v>#VALUE!</v>
      </c>
      <c r="O197" s="55">
        <v>128</v>
      </c>
      <c r="AD197" s="32"/>
    </row>
    <row r="198" spans="1:30">
      <c r="A198" s="47">
        <v>180</v>
      </c>
      <c r="L198" s="114" t="e">
        <f t="shared" ref="L198:L229" si="36">L197+$L$68</f>
        <v>#VALUE!</v>
      </c>
      <c r="M198" s="29" t="e">
        <f t="shared" si="34"/>
        <v>#VALUE!</v>
      </c>
      <c r="N198" s="55" t="e">
        <f t="shared" si="35"/>
        <v>#VALUE!</v>
      </c>
      <c r="O198" s="55">
        <v>129</v>
      </c>
      <c r="AC198" s="32"/>
      <c r="AD198" s="32"/>
    </row>
    <row r="199" spans="1:30">
      <c r="A199" s="47">
        <v>181</v>
      </c>
      <c r="L199" s="114" t="e">
        <f t="shared" si="36"/>
        <v>#VALUE!</v>
      </c>
      <c r="M199" s="29" t="e">
        <f t="shared" si="34"/>
        <v>#VALUE!</v>
      </c>
      <c r="N199" s="55" t="e">
        <f t="shared" si="35"/>
        <v>#VALUE!</v>
      </c>
      <c r="O199" s="55">
        <v>130</v>
      </c>
      <c r="AD199" s="32"/>
    </row>
    <row r="200" spans="1:30">
      <c r="A200" s="47">
        <v>182</v>
      </c>
      <c r="L200" s="114" t="e">
        <f t="shared" si="36"/>
        <v>#VALUE!</v>
      </c>
      <c r="M200" s="29" t="e">
        <f t="shared" si="34"/>
        <v>#VALUE!</v>
      </c>
      <c r="N200" s="55" t="e">
        <f t="shared" si="35"/>
        <v>#VALUE!</v>
      </c>
      <c r="O200" s="55">
        <v>131</v>
      </c>
      <c r="AD200" s="32"/>
    </row>
    <row r="201" spans="1:30">
      <c r="A201" s="47">
        <v>183</v>
      </c>
      <c r="L201" s="114" t="e">
        <f t="shared" si="36"/>
        <v>#VALUE!</v>
      </c>
      <c r="M201" s="29" t="e">
        <f t="shared" si="34"/>
        <v>#VALUE!</v>
      </c>
      <c r="N201" s="55" t="e">
        <f t="shared" si="35"/>
        <v>#VALUE!</v>
      </c>
      <c r="O201" s="55">
        <v>132</v>
      </c>
      <c r="AD201" s="32"/>
    </row>
    <row r="202" spans="1:30">
      <c r="A202" s="47">
        <v>184</v>
      </c>
      <c r="L202" s="114" t="e">
        <f t="shared" si="36"/>
        <v>#VALUE!</v>
      </c>
      <c r="M202" s="29" t="e">
        <f t="shared" si="34"/>
        <v>#VALUE!</v>
      </c>
      <c r="N202" s="55" t="e">
        <f t="shared" si="35"/>
        <v>#VALUE!</v>
      </c>
      <c r="O202" s="55">
        <v>133</v>
      </c>
      <c r="AD202" s="32"/>
    </row>
    <row r="203" spans="1:30">
      <c r="A203" s="47">
        <v>185</v>
      </c>
      <c r="L203" s="114" t="e">
        <f t="shared" si="36"/>
        <v>#VALUE!</v>
      </c>
      <c r="M203" s="29" t="e">
        <f t="shared" si="34"/>
        <v>#VALUE!</v>
      </c>
      <c r="N203" s="55" t="e">
        <f t="shared" si="35"/>
        <v>#VALUE!</v>
      </c>
      <c r="O203" s="55">
        <v>134</v>
      </c>
      <c r="AD203" s="32"/>
    </row>
    <row r="204" spans="1:30">
      <c r="A204" s="47">
        <v>186</v>
      </c>
      <c r="L204" s="114" t="e">
        <f t="shared" si="36"/>
        <v>#VALUE!</v>
      </c>
      <c r="M204" s="29" t="e">
        <f t="shared" si="34"/>
        <v>#VALUE!</v>
      </c>
      <c r="N204" s="55" t="e">
        <f t="shared" si="35"/>
        <v>#VALUE!</v>
      </c>
      <c r="O204" s="55">
        <v>135</v>
      </c>
      <c r="AD204" s="32"/>
    </row>
    <row r="205" spans="1:30">
      <c r="A205" s="47">
        <v>187</v>
      </c>
      <c r="L205" s="114" t="e">
        <f t="shared" si="36"/>
        <v>#VALUE!</v>
      </c>
      <c r="M205" s="29" t="e">
        <f t="shared" si="34"/>
        <v>#VALUE!</v>
      </c>
      <c r="N205" s="55" t="e">
        <f t="shared" si="35"/>
        <v>#VALUE!</v>
      </c>
      <c r="O205" s="55">
        <v>136</v>
      </c>
      <c r="AD205" s="32"/>
    </row>
    <row r="206" spans="1:30">
      <c r="A206" s="47">
        <v>188</v>
      </c>
      <c r="L206" s="114" t="e">
        <f t="shared" si="36"/>
        <v>#VALUE!</v>
      </c>
      <c r="M206" s="29" t="e">
        <f t="shared" si="34"/>
        <v>#VALUE!</v>
      </c>
      <c r="N206" s="55" t="e">
        <f t="shared" si="35"/>
        <v>#VALUE!</v>
      </c>
      <c r="O206" s="55">
        <v>137</v>
      </c>
      <c r="AD206" s="32"/>
    </row>
    <row r="207" spans="1:30">
      <c r="A207" s="47">
        <v>189</v>
      </c>
      <c r="L207" s="114" t="e">
        <f t="shared" si="36"/>
        <v>#VALUE!</v>
      </c>
      <c r="M207" s="29" t="e">
        <f t="shared" si="34"/>
        <v>#VALUE!</v>
      </c>
      <c r="N207" s="55" t="e">
        <f t="shared" si="35"/>
        <v>#VALUE!</v>
      </c>
      <c r="O207" s="55">
        <v>138</v>
      </c>
      <c r="AD207" s="32"/>
    </row>
    <row r="208" spans="1:30">
      <c r="A208" s="47">
        <v>190</v>
      </c>
      <c r="L208" s="114" t="e">
        <f t="shared" si="36"/>
        <v>#VALUE!</v>
      </c>
      <c r="M208" s="29" t="e">
        <f t="shared" si="34"/>
        <v>#VALUE!</v>
      </c>
      <c r="N208" s="55" t="e">
        <f t="shared" si="35"/>
        <v>#VALUE!</v>
      </c>
      <c r="O208" s="55">
        <v>139</v>
      </c>
      <c r="AD208" s="32"/>
    </row>
    <row r="209" spans="1:30">
      <c r="A209" s="47">
        <v>191</v>
      </c>
      <c r="L209" s="114" t="e">
        <f t="shared" si="36"/>
        <v>#VALUE!</v>
      </c>
      <c r="M209" s="29" t="e">
        <f t="shared" si="34"/>
        <v>#VALUE!</v>
      </c>
      <c r="N209" s="55" t="e">
        <f t="shared" si="35"/>
        <v>#VALUE!</v>
      </c>
      <c r="O209" s="55">
        <v>140</v>
      </c>
      <c r="AD209" s="32"/>
    </row>
    <row r="210" spans="1:30">
      <c r="A210" s="47">
        <v>192</v>
      </c>
      <c r="L210" s="114" t="e">
        <f t="shared" si="36"/>
        <v>#VALUE!</v>
      </c>
      <c r="M210" s="29" t="e">
        <f t="shared" si="34"/>
        <v>#VALUE!</v>
      </c>
      <c r="N210" s="55" t="e">
        <f t="shared" si="35"/>
        <v>#VALUE!</v>
      </c>
      <c r="O210" s="55">
        <v>141</v>
      </c>
      <c r="AC210" s="32"/>
      <c r="AD210" s="32"/>
    </row>
    <row r="211" spans="1:30">
      <c r="A211" s="47">
        <v>193</v>
      </c>
      <c r="L211" s="114" t="e">
        <f t="shared" si="36"/>
        <v>#VALUE!</v>
      </c>
      <c r="M211" s="29" t="e">
        <f t="shared" si="34"/>
        <v>#VALUE!</v>
      </c>
      <c r="N211" s="55" t="e">
        <f t="shared" si="35"/>
        <v>#VALUE!</v>
      </c>
      <c r="O211" s="55">
        <v>142</v>
      </c>
      <c r="AD211" s="32"/>
    </row>
    <row r="212" spans="1:30">
      <c r="A212" s="47">
        <v>194</v>
      </c>
      <c r="L212" s="114" t="e">
        <f t="shared" si="36"/>
        <v>#VALUE!</v>
      </c>
      <c r="M212" s="29" t="e">
        <f t="shared" si="34"/>
        <v>#VALUE!</v>
      </c>
      <c r="N212" s="55" t="e">
        <f t="shared" si="35"/>
        <v>#VALUE!</v>
      </c>
      <c r="O212" s="55">
        <v>143</v>
      </c>
      <c r="AD212" s="32"/>
    </row>
    <row r="213" spans="1:30">
      <c r="A213" s="47">
        <v>195</v>
      </c>
      <c r="L213" s="114" t="e">
        <f t="shared" si="36"/>
        <v>#VALUE!</v>
      </c>
      <c r="M213" s="29" t="e">
        <f t="shared" si="34"/>
        <v>#VALUE!</v>
      </c>
      <c r="N213" s="55" t="e">
        <f t="shared" si="35"/>
        <v>#VALUE!</v>
      </c>
      <c r="O213" s="55">
        <v>144</v>
      </c>
      <c r="AD213" s="32"/>
    </row>
    <row r="214" spans="1:30">
      <c r="A214" s="47">
        <v>196</v>
      </c>
      <c r="L214" s="114" t="e">
        <f t="shared" si="36"/>
        <v>#VALUE!</v>
      </c>
      <c r="M214" s="29" t="e">
        <f t="shared" si="34"/>
        <v>#VALUE!</v>
      </c>
      <c r="N214" s="55" t="e">
        <f t="shared" si="35"/>
        <v>#VALUE!</v>
      </c>
      <c r="O214" s="55">
        <v>145</v>
      </c>
      <c r="AD214" s="32"/>
    </row>
    <row r="215" spans="1:30">
      <c r="A215" s="47">
        <v>197</v>
      </c>
      <c r="L215" s="114" t="e">
        <f t="shared" si="36"/>
        <v>#VALUE!</v>
      </c>
      <c r="M215" s="29" t="e">
        <f t="shared" si="34"/>
        <v>#VALUE!</v>
      </c>
      <c r="N215" s="55" t="e">
        <f t="shared" si="35"/>
        <v>#VALUE!</v>
      </c>
      <c r="O215" s="55">
        <v>146</v>
      </c>
      <c r="AD215" s="32"/>
    </row>
    <row r="216" spans="1:30">
      <c r="A216" s="47">
        <v>198</v>
      </c>
      <c r="L216" s="114" t="e">
        <f t="shared" si="36"/>
        <v>#VALUE!</v>
      </c>
      <c r="M216" s="29" t="e">
        <f t="shared" si="34"/>
        <v>#VALUE!</v>
      </c>
      <c r="N216" s="55" t="e">
        <f t="shared" si="35"/>
        <v>#VALUE!</v>
      </c>
      <c r="O216" s="55">
        <v>147</v>
      </c>
      <c r="AD216" s="32"/>
    </row>
    <row r="217" spans="1:30">
      <c r="A217" s="47">
        <v>199</v>
      </c>
      <c r="L217" s="114" t="e">
        <f t="shared" si="36"/>
        <v>#VALUE!</v>
      </c>
      <c r="M217" s="29" t="e">
        <f t="shared" si="34"/>
        <v>#VALUE!</v>
      </c>
      <c r="N217" s="55" t="e">
        <f t="shared" si="35"/>
        <v>#VALUE!</v>
      </c>
      <c r="O217" s="55">
        <v>148</v>
      </c>
      <c r="AD217" s="32"/>
    </row>
    <row r="218" spans="1:30">
      <c r="A218" s="446" t="s">
        <v>188</v>
      </c>
      <c r="L218" s="114" t="e">
        <f t="shared" si="36"/>
        <v>#VALUE!</v>
      </c>
      <c r="M218" s="29" t="e">
        <f t="shared" si="34"/>
        <v>#VALUE!</v>
      </c>
      <c r="N218" s="55" t="e">
        <f t="shared" si="35"/>
        <v>#VALUE!</v>
      </c>
      <c r="O218" s="55">
        <v>149</v>
      </c>
      <c r="AD218" s="32"/>
    </row>
    <row r="219" spans="12:30">
      <c r="L219" s="114" t="e">
        <f t="shared" si="36"/>
        <v>#VALUE!</v>
      </c>
      <c r="M219" s="29" t="e">
        <f t="shared" si="34"/>
        <v>#VALUE!</v>
      </c>
      <c r="N219" s="55" t="e">
        <f t="shared" si="35"/>
        <v>#VALUE!</v>
      </c>
      <c r="O219" s="55">
        <v>150</v>
      </c>
      <c r="AD219" s="32"/>
    </row>
    <row r="220" spans="12:30">
      <c r="L220" s="114" t="e">
        <f t="shared" si="36"/>
        <v>#VALUE!</v>
      </c>
      <c r="M220" s="29" t="e">
        <f t="shared" si="34"/>
        <v>#VALUE!</v>
      </c>
      <c r="N220" s="55" t="e">
        <f t="shared" si="35"/>
        <v>#VALUE!</v>
      </c>
      <c r="O220" s="55">
        <v>151</v>
      </c>
      <c r="AD220" s="32"/>
    </row>
    <row r="221" spans="12:30">
      <c r="L221" s="114" t="e">
        <f t="shared" si="36"/>
        <v>#VALUE!</v>
      </c>
      <c r="M221" s="29" t="e">
        <f t="shared" si="34"/>
        <v>#VALUE!</v>
      </c>
      <c r="N221" s="55" t="e">
        <f t="shared" si="35"/>
        <v>#VALUE!</v>
      </c>
      <c r="O221" s="55">
        <v>152</v>
      </c>
      <c r="AD221" s="32"/>
    </row>
    <row r="222" spans="12:30">
      <c r="L222" s="114" t="e">
        <f t="shared" si="36"/>
        <v>#VALUE!</v>
      </c>
      <c r="M222" s="29" t="e">
        <f t="shared" si="34"/>
        <v>#VALUE!</v>
      </c>
      <c r="N222" s="55" t="e">
        <f t="shared" si="35"/>
        <v>#VALUE!</v>
      </c>
      <c r="O222" s="55">
        <v>153</v>
      </c>
      <c r="AC222" s="32"/>
      <c r="AD222" s="32"/>
    </row>
    <row r="223" spans="12:30">
      <c r="L223" s="114" t="e">
        <f t="shared" si="36"/>
        <v>#VALUE!</v>
      </c>
      <c r="M223" s="29" t="e">
        <f t="shared" si="34"/>
        <v>#VALUE!</v>
      </c>
      <c r="N223" s="55" t="e">
        <f t="shared" si="35"/>
        <v>#VALUE!</v>
      </c>
      <c r="O223" s="55">
        <v>154</v>
      </c>
      <c r="AD223" s="32"/>
    </row>
    <row r="224" spans="12:30">
      <c r="L224" s="114" t="e">
        <f t="shared" si="36"/>
        <v>#VALUE!</v>
      </c>
      <c r="M224" s="29" t="e">
        <f t="shared" si="34"/>
        <v>#VALUE!</v>
      </c>
      <c r="N224" s="55" t="e">
        <f t="shared" si="35"/>
        <v>#VALUE!</v>
      </c>
      <c r="O224" s="55">
        <v>155</v>
      </c>
      <c r="AD224" s="32"/>
    </row>
    <row r="225" spans="12:30">
      <c r="L225" s="114" t="e">
        <f t="shared" si="36"/>
        <v>#VALUE!</v>
      </c>
      <c r="M225" s="29" t="e">
        <f t="shared" si="34"/>
        <v>#VALUE!</v>
      </c>
      <c r="N225" s="55" t="e">
        <f t="shared" si="35"/>
        <v>#VALUE!</v>
      </c>
      <c r="O225" s="55">
        <v>156</v>
      </c>
      <c r="AD225" s="32"/>
    </row>
    <row r="226" spans="12:30">
      <c r="L226" s="114" t="e">
        <f t="shared" si="36"/>
        <v>#VALUE!</v>
      </c>
      <c r="M226" s="29" t="e">
        <f t="shared" si="34"/>
        <v>#VALUE!</v>
      </c>
      <c r="N226" s="55" t="e">
        <f t="shared" si="35"/>
        <v>#VALUE!</v>
      </c>
      <c r="O226" s="55">
        <v>157</v>
      </c>
      <c r="AD226" s="32"/>
    </row>
    <row r="227" spans="12:30">
      <c r="L227" s="114" t="e">
        <f t="shared" si="36"/>
        <v>#VALUE!</v>
      </c>
      <c r="M227" s="29" t="e">
        <f t="shared" si="34"/>
        <v>#VALUE!</v>
      </c>
      <c r="N227" s="55" t="e">
        <f t="shared" si="35"/>
        <v>#VALUE!</v>
      </c>
      <c r="O227" s="55">
        <v>158</v>
      </c>
      <c r="AD227" s="32"/>
    </row>
    <row r="228" spans="12:30">
      <c r="L228" s="114" t="e">
        <f t="shared" si="36"/>
        <v>#VALUE!</v>
      </c>
      <c r="M228" s="29" t="e">
        <f t="shared" si="34"/>
        <v>#VALUE!</v>
      </c>
      <c r="N228" s="55" t="e">
        <f t="shared" si="35"/>
        <v>#VALUE!</v>
      </c>
      <c r="O228" s="55">
        <v>159</v>
      </c>
      <c r="AD228" s="32"/>
    </row>
    <row r="229" spans="12:30">
      <c r="L229" s="114" t="e">
        <f t="shared" si="36"/>
        <v>#VALUE!</v>
      </c>
      <c r="M229" s="29" t="e">
        <f t="shared" ref="M229:M261" si="37">IF(N229&lt;0," ",N229)</f>
        <v>#VALUE!</v>
      </c>
      <c r="N229" s="55" t="e">
        <f t="shared" ref="N229:N261" si="38">(0.39894228/$E$33)*EXP(-((L229-$E$32)^2)/(2*$E$33^2))*(1-0.5*$L$36*((L229-$E$32)/$E$33-(L229-$E$32)^3/(3*$E$33^3)))</f>
        <v>#VALUE!</v>
      </c>
      <c r="O229" s="55">
        <v>160</v>
      </c>
      <c r="AD229" s="32"/>
    </row>
    <row r="230" spans="12:30">
      <c r="L230" s="114" t="e">
        <f t="shared" ref="L230:L261" si="39">L229+$L$68</f>
        <v>#VALUE!</v>
      </c>
      <c r="M230" s="29" t="e">
        <f t="shared" si="37"/>
        <v>#VALUE!</v>
      </c>
      <c r="N230" s="55" t="e">
        <f t="shared" si="38"/>
        <v>#VALUE!</v>
      </c>
      <c r="O230" s="55">
        <v>161</v>
      </c>
      <c r="AD230" s="32"/>
    </row>
    <row r="231" spans="12:30">
      <c r="L231" s="114" t="e">
        <f t="shared" si="39"/>
        <v>#VALUE!</v>
      </c>
      <c r="M231" s="29" t="e">
        <f t="shared" si="37"/>
        <v>#VALUE!</v>
      </c>
      <c r="N231" s="55" t="e">
        <f t="shared" si="38"/>
        <v>#VALUE!</v>
      </c>
      <c r="O231" s="55">
        <v>162</v>
      </c>
      <c r="AD231" s="32"/>
    </row>
    <row r="232" spans="12:30">
      <c r="L232" s="114" t="e">
        <f t="shared" si="39"/>
        <v>#VALUE!</v>
      </c>
      <c r="M232" s="29" t="e">
        <f t="shared" si="37"/>
        <v>#VALUE!</v>
      </c>
      <c r="N232" s="55" t="e">
        <f t="shared" si="38"/>
        <v>#VALUE!</v>
      </c>
      <c r="O232" s="55">
        <v>163</v>
      </c>
      <c r="AD232" s="32"/>
    </row>
    <row r="233" spans="12:30">
      <c r="L233" s="114" t="e">
        <f t="shared" si="39"/>
        <v>#VALUE!</v>
      </c>
      <c r="M233" s="29" t="e">
        <f t="shared" si="37"/>
        <v>#VALUE!</v>
      </c>
      <c r="N233" s="55" t="e">
        <f t="shared" si="38"/>
        <v>#VALUE!</v>
      </c>
      <c r="O233" s="55">
        <v>164</v>
      </c>
      <c r="AD233" s="32"/>
    </row>
    <row r="234" spans="12:15">
      <c r="L234" s="114" t="e">
        <f t="shared" si="39"/>
        <v>#VALUE!</v>
      </c>
      <c r="M234" s="29" t="e">
        <f t="shared" si="37"/>
        <v>#VALUE!</v>
      </c>
      <c r="N234" s="55" t="e">
        <f t="shared" si="38"/>
        <v>#VALUE!</v>
      </c>
      <c r="O234" s="55">
        <v>165</v>
      </c>
    </row>
    <row r="235" spans="12:15">
      <c r="L235" s="114" t="e">
        <f t="shared" si="39"/>
        <v>#VALUE!</v>
      </c>
      <c r="M235" s="29" t="e">
        <f t="shared" si="37"/>
        <v>#VALUE!</v>
      </c>
      <c r="N235" s="55" t="e">
        <f t="shared" si="38"/>
        <v>#VALUE!</v>
      </c>
      <c r="O235" s="55">
        <v>166</v>
      </c>
    </row>
    <row r="236" spans="12:15">
      <c r="L236" s="114" t="e">
        <f t="shared" si="39"/>
        <v>#VALUE!</v>
      </c>
      <c r="M236" s="29" t="e">
        <f t="shared" si="37"/>
        <v>#VALUE!</v>
      </c>
      <c r="N236" s="55" t="e">
        <f t="shared" si="38"/>
        <v>#VALUE!</v>
      </c>
      <c r="O236" s="55">
        <v>167</v>
      </c>
    </row>
    <row r="237" spans="12:15">
      <c r="L237" s="114" t="e">
        <f t="shared" si="39"/>
        <v>#VALUE!</v>
      </c>
      <c r="M237" s="29" t="e">
        <f t="shared" si="37"/>
        <v>#VALUE!</v>
      </c>
      <c r="N237" s="55" t="e">
        <f t="shared" si="38"/>
        <v>#VALUE!</v>
      </c>
      <c r="O237" s="55">
        <v>168</v>
      </c>
    </row>
    <row r="238" spans="12:15">
      <c r="L238" s="114" t="e">
        <f t="shared" si="39"/>
        <v>#VALUE!</v>
      </c>
      <c r="M238" s="29" t="e">
        <f t="shared" si="37"/>
        <v>#VALUE!</v>
      </c>
      <c r="N238" s="55" t="e">
        <f t="shared" si="38"/>
        <v>#VALUE!</v>
      </c>
      <c r="O238" s="55">
        <v>169</v>
      </c>
    </row>
    <row r="239" spans="12:15">
      <c r="L239" s="114" t="e">
        <f t="shared" si="39"/>
        <v>#VALUE!</v>
      </c>
      <c r="M239" s="29" t="e">
        <f t="shared" si="37"/>
        <v>#VALUE!</v>
      </c>
      <c r="N239" s="55" t="e">
        <f t="shared" si="38"/>
        <v>#VALUE!</v>
      </c>
      <c r="O239" s="55">
        <v>170</v>
      </c>
    </row>
    <row r="240" spans="12:15">
      <c r="L240" s="114" t="e">
        <f t="shared" si="39"/>
        <v>#VALUE!</v>
      </c>
      <c r="M240" s="29" t="e">
        <f t="shared" si="37"/>
        <v>#VALUE!</v>
      </c>
      <c r="N240" s="55" t="e">
        <f t="shared" si="38"/>
        <v>#VALUE!</v>
      </c>
      <c r="O240" s="55">
        <v>171</v>
      </c>
    </row>
    <row r="241" spans="12:15">
      <c r="L241" s="114" t="e">
        <f t="shared" si="39"/>
        <v>#VALUE!</v>
      </c>
      <c r="M241" s="29" t="e">
        <f t="shared" si="37"/>
        <v>#VALUE!</v>
      </c>
      <c r="N241" s="55" t="e">
        <f t="shared" si="38"/>
        <v>#VALUE!</v>
      </c>
      <c r="O241" s="55">
        <v>172</v>
      </c>
    </row>
    <row r="242" spans="12:15">
      <c r="L242" s="114" t="e">
        <f t="shared" si="39"/>
        <v>#VALUE!</v>
      </c>
      <c r="M242" s="29" t="e">
        <f t="shared" si="37"/>
        <v>#VALUE!</v>
      </c>
      <c r="N242" s="55" t="e">
        <f t="shared" si="38"/>
        <v>#VALUE!</v>
      </c>
      <c r="O242" s="55">
        <v>173</v>
      </c>
    </row>
    <row r="243" spans="12:15">
      <c r="L243" s="114" t="e">
        <f t="shared" si="39"/>
        <v>#VALUE!</v>
      </c>
      <c r="M243" s="29" t="e">
        <f t="shared" si="37"/>
        <v>#VALUE!</v>
      </c>
      <c r="N243" s="55" t="e">
        <f t="shared" si="38"/>
        <v>#VALUE!</v>
      </c>
      <c r="O243" s="55">
        <v>174</v>
      </c>
    </row>
    <row r="244" spans="12:15">
      <c r="L244" s="114" t="e">
        <f t="shared" si="39"/>
        <v>#VALUE!</v>
      </c>
      <c r="M244" s="29" t="e">
        <f t="shared" si="37"/>
        <v>#VALUE!</v>
      </c>
      <c r="N244" s="55" t="e">
        <f t="shared" si="38"/>
        <v>#VALUE!</v>
      </c>
      <c r="O244" s="55">
        <v>175</v>
      </c>
    </row>
    <row r="245" spans="12:15">
      <c r="L245" s="114" t="e">
        <f t="shared" si="39"/>
        <v>#VALUE!</v>
      </c>
      <c r="M245" s="29" t="e">
        <f t="shared" si="37"/>
        <v>#VALUE!</v>
      </c>
      <c r="N245" s="55" t="e">
        <f t="shared" si="38"/>
        <v>#VALUE!</v>
      </c>
      <c r="O245" s="55">
        <v>176</v>
      </c>
    </row>
    <row r="246" spans="12:15">
      <c r="L246" s="114" t="e">
        <f t="shared" si="39"/>
        <v>#VALUE!</v>
      </c>
      <c r="M246" s="29" t="e">
        <f t="shared" si="37"/>
        <v>#VALUE!</v>
      </c>
      <c r="N246" s="55" t="e">
        <f t="shared" si="38"/>
        <v>#VALUE!</v>
      </c>
      <c r="O246" s="55">
        <v>177</v>
      </c>
    </row>
    <row r="247" spans="12:15">
      <c r="L247" s="114" t="e">
        <f t="shared" si="39"/>
        <v>#VALUE!</v>
      </c>
      <c r="M247" s="29" t="e">
        <f t="shared" si="37"/>
        <v>#VALUE!</v>
      </c>
      <c r="N247" s="55" t="e">
        <f t="shared" si="38"/>
        <v>#VALUE!</v>
      </c>
      <c r="O247" s="55">
        <v>178</v>
      </c>
    </row>
    <row r="248" spans="12:15">
      <c r="L248" s="114" t="e">
        <f t="shared" si="39"/>
        <v>#VALUE!</v>
      </c>
      <c r="M248" s="29" t="e">
        <f t="shared" si="37"/>
        <v>#VALUE!</v>
      </c>
      <c r="N248" s="55" t="e">
        <f t="shared" si="38"/>
        <v>#VALUE!</v>
      </c>
      <c r="O248" s="55">
        <v>179</v>
      </c>
    </row>
    <row r="249" spans="12:15">
      <c r="L249" s="114" t="e">
        <f t="shared" si="39"/>
        <v>#VALUE!</v>
      </c>
      <c r="M249" s="29" t="e">
        <f t="shared" si="37"/>
        <v>#VALUE!</v>
      </c>
      <c r="N249" s="55" t="e">
        <f t="shared" si="38"/>
        <v>#VALUE!</v>
      </c>
      <c r="O249" s="55">
        <v>180</v>
      </c>
    </row>
    <row r="250" spans="12:15">
      <c r="L250" s="114" t="e">
        <f t="shared" si="39"/>
        <v>#VALUE!</v>
      </c>
      <c r="M250" s="29" t="e">
        <f t="shared" si="37"/>
        <v>#VALUE!</v>
      </c>
      <c r="N250" s="55" t="e">
        <f t="shared" si="38"/>
        <v>#VALUE!</v>
      </c>
      <c r="O250" s="55">
        <v>181</v>
      </c>
    </row>
    <row r="251" spans="12:15">
      <c r="L251" s="114" t="e">
        <f t="shared" si="39"/>
        <v>#VALUE!</v>
      </c>
      <c r="M251" s="29" t="e">
        <f t="shared" si="37"/>
        <v>#VALUE!</v>
      </c>
      <c r="N251" s="55" t="e">
        <f t="shared" si="38"/>
        <v>#VALUE!</v>
      </c>
      <c r="O251" s="55">
        <v>182</v>
      </c>
    </row>
    <row r="252" spans="12:15">
      <c r="L252" s="114" t="e">
        <f t="shared" si="39"/>
        <v>#VALUE!</v>
      </c>
      <c r="M252" s="29" t="e">
        <f t="shared" si="37"/>
        <v>#VALUE!</v>
      </c>
      <c r="N252" s="55" t="e">
        <f t="shared" si="38"/>
        <v>#VALUE!</v>
      </c>
      <c r="O252" s="55">
        <v>183</v>
      </c>
    </row>
    <row r="253" spans="12:15">
      <c r="L253" s="114" t="e">
        <f t="shared" si="39"/>
        <v>#VALUE!</v>
      </c>
      <c r="M253" s="29" t="e">
        <f t="shared" si="37"/>
        <v>#VALUE!</v>
      </c>
      <c r="N253" s="55" t="e">
        <f t="shared" si="38"/>
        <v>#VALUE!</v>
      </c>
      <c r="O253" s="55">
        <v>184</v>
      </c>
    </row>
    <row r="254" spans="12:15">
      <c r="L254" s="114" t="e">
        <f t="shared" si="39"/>
        <v>#VALUE!</v>
      </c>
      <c r="M254" s="29" t="e">
        <f t="shared" si="37"/>
        <v>#VALUE!</v>
      </c>
      <c r="N254" s="55" t="e">
        <f t="shared" si="38"/>
        <v>#VALUE!</v>
      </c>
      <c r="O254" s="55">
        <v>185</v>
      </c>
    </row>
    <row r="255" spans="12:15">
      <c r="L255" s="114" t="e">
        <f t="shared" si="39"/>
        <v>#VALUE!</v>
      </c>
      <c r="M255" s="29" t="e">
        <f t="shared" si="37"/>
        <v>#VALUE!</v>
      </c>
      <c r="N255" s="55" t="e">
        <f t="shared" si="38"/>
        <v>#VALUE!</v>
      </c>
      <c r="O255" s="55">
        <v>186</v>
      </c>
    </row>
    <row r="256" spans="12:15">
      <c r="L256" s="114" t="e">
        <f t="shared" si="39"/>
        <v>#VALUE!</v>
      </c>
      <c r="M256" s="29" t="e">
        <f t="shared" si="37"/>
        <v>#VALUE!</v>
      </c>
      <c r="N256" s="55" t="e">
        <f t="shared" si="38"/>
        <v>#VALUE!</v>
      </c>
      <c r="O256" s="55">
        <v>187</v>
      </c>
    </row>
    <row r="257" spans="12:15">
      <c r="L257" s="114" t="e">
        <f t="shared" si="39"/>
        <v>#VALUE!</v>
      </c>
      <c r="M257" s="29" t="e">
        <f t="shared" si="37"/>
        <v>#VALUE!</v>
      </c>
      <c r="N257" s="55" t="e">
        <f t="shared" si="38"/>
        <v>#VALUE!</v>
      </c>
      <c r="O257" s="55">
        <v>188</v>
      </c>
    </row>
    <row r="258" spans="12:15">
      <c r="L258" s="114" t="e">
        <f t="shared" si="39"/>
        <v>#VALUE!</v>
      </c>
      <c r="M258" s="29" t="e">
        <f t="shared" si="37"/>
        <v>#VALUE!</v>
      </c>
      <c r="N258" s="55" t="e">
        <f t="shared" si="38"/>
        <v>#VALUE!</v>
      </c>
      <c r="O258" s="55">
        <v>189</v>
      </c>
    </row>
    <row r="259" spans="12:15">
      <c r="L259" s="114" t="e">
        <f t="shared" si="39"/>
        <v>#VALUE!</v>
      </c>
      <c r="M259" s="29" t="e">
        <f t="shared" si="37"/>
        <v>#VALUE!</v>
      </c>
      <c r="N259" s="55" t="e">
        <f t="shared" si="38"/>
        <v>#VALUE!</v>
      </c>
      <c r="O259" s="55">
        <v>190</v>
      </c>
    </row>
    <row r="260" spans="12:15">
      <c r="L260" s="114" t="e">
        <f t="shared" si="39"/>
        <v>#VALUE!</v>
      </c>
      <c r="M260" s="29" t="e">
        <f t="shared" si="37"/>
        <v>#VALUE!</v>
      </c>
      <c r="N260" s="55" t="e">
        <f t="shared" si="38"/>
        <v>#VALUE!</v>
      </c>
      <c r="O260" s="55">
        <v>191</v>
      </c>
    </row>
    <row r="261" spans="12:15">
      <c r="L261" s="114" t="e">
        <f t="shared" si="39"/>
        <v>#VALUE!</v>
      </c>
      <c r="M261" s="29" t="e">
        <f t="shared" si="37"/>
        <v>#VALUE!</v>
      </c>
      <c r="N261" s="55" t="e">
        <f t="shared" si="38"/>
        <v>#VALUE!</v>
      </c>
      <c r="O261" s="55">
        <v>192</v>
      </c>
    </row>
    <row r="262" spans="15:15">
      <c r="O262" s="55"/>
    </row>
    <row r="263" spans="15:15">
      <c r="O263" s="55"/>
    </row>
    <row r="264" spans="15:15">
      <c r="O264" s="55"/>
    </row>
    <row r="265" spans="15:15">
      <c r="O265" s="55"/>
    </row>
    <row r="266" spans="15:15">
      <c r="O266" s="55"/>
    </row>
    <row r="267" spans="15:15">
      <c r="O267" s="55"/>
    </row>
    <row r="268" spans="15:15">
      <c r="O268" s="55"/>
    </row>
    <row r="269" spans="15:15">
      <c r="O269" s="55"/>
    </row>
    <row r="270" spans="15:15">
      <c r="O270" s="55"/>
    </row>
  </sheetData>
  <printOptions horizontalCentered="1" verticalCentered="1"/>
  <pageMargins left="0.196850393700787" right="0.196850393700787" top="0.8" bottom="0.393700787401575" header="0.31496062992126" footer="0"/>
  <pageSetup paperSize="9" scale="79" orientation="portrait" verticalDpi="300"/>
  <headerFooter alignWithMargins="0" scaleWithDoc="0">
    <oddHeader>&amp;R&amp;D &amp;F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SheetLayoutView="60" workbookViewId="0">
      <selection activeCell="B9" sqref="B9"/>
    </sheetView>
  </sheetViews>
  <sheetFormatPr defaultColWidth="9.14285714285714" defaultRowHeight="17.6"/>
  <cols>
    <col min="1" max="1" width="5.875" style="15" customWidth="1"/>
    <col min="2" max="6" width="9" style="15"/>
    <col min="7" max="8" width="10" style="15" customWidth="1"/>
    <col min="9" max="9" width="9" style="15"/>
    <col min="10" max="10" width="6.875" style="15" customWidth="1"/>
    <col min="11" max="11" width="14.125" style="15" customWidth="1"/>
    <col min="12" max="16384" width="9" style="20"/>
  </cols>
  <sheetData>
    <row r="1" ht="26" spans="1:9">
      <c r="A1" s="21" t="s">
        <v>189</v>
      </c>
      <c r="B1" s="21"/>
      <c r="C1" s="21"/>
      <c r="D1" s="21"/>
      <c r="E1" s="21"/>
      <c r="F1" s="21"/>
      <c r="G1" s="21"/>
      <c r="H1" s="21"/>
      <c r="I1" s="21"/>
    </row>
    <row r="2" spans="3:9">
      <c r="C2" s="22" t="s">
        <v>190</v>
      </c>
      <c r="D2" s="22"/>
      <c r="E2" s="22"/>
      <c r="H2" s="22" t="s">
        <v>191</v>
      </c>
      <c r="I2" s="22"/>
    </row>
    <row r="3" ht="22" spans="2:13">
      <c r="B3" s="22" t="s">
        <v>192</v>
      </c>
      <c r="C3" s="22" t="s">
        <v>193</v>
      </c>
      <c r="D3" s="22"/>
      <c r="E3" s="22"/>
      <c r="F3" s="22" t="s">
        <v>192</v>
      </c>
      <c r="G3" s="22" t="s">
        <v>194</v>
      </c>
      <c r="H3" s="22"/>
      <c r="I3" s="22"/>
      <c r="K3" s="27" t="s">
        <v>195</v>
      </c>
      <c r="L3" s="28" t="s">
        <v>196</v>
      </c>
      <c r="M3" s="28"/>
    </row>
    <row r="4" ht="22" spans="1:13">
      <c r="A4" s="23" t="s">
        <v>197</v>
      </c>
      <c r="B4" s="23" t="s">
        <v>198</v>
      </c>
      <c r="C4" s="23" t="s">
        <v>199</v>
      </c>
      <c r="D4" s="23" t="s">
        <v>198</v>
      </c>
      <c r="E4" s="23"/>
      <c r="F4" s="23" t="s">
        <v>198</v>
      </c>
      <c r="G4" s="23" t="s">
        <v>199</v>
      </c>
      <c r="H4" s="23" t="s">
        <v>198</v>
      </c>
      <c r="I4" s="23"/>
      <c r="K4" s="27" t="s">
        <v>200</v>
      </c>
      <c r="L4" s="28" t="s">
        <v>201</v>
      </c>
      <c r="M4" s="28"/>
    </row>
    <row r="5" ht="16.5" customHeight="1" spans="1:9">
      <c r="A5" s="23"/>
      <c r="B5" s="23"/>
      <c r="C5" s="23"/>
      <c r="D5" s="23"/>
      <c r="E5" s="23"/>
      <c r="F5" s="23"/>
      <c r="G5" s="23"/>
      <c r="H5" s="23"/>
      <c r="I5" s="23"/>
    </row>
    <row r="6" spans="1:9">
      <c r="A6" s="23"/>
      <c r="B6" s="23"/>
      <c r="C6" s="23"/>
      <c r="D6" s="23"/>
      <c r="E6" s="23"/>
      <c r="F6" s="23"/>
      <c r="G6" s="23"/>
      <c r="H6" s="23"/>
      <c r="I6" s="23"/>
    </row>
    <row r="7" ht="25" spans="1:13">
      <c r="A7" s="16" t="s">
        <v>66</v>
      </c>
      <c r="B7" s="16" t="s">
        <v>202</v>
      </c>
      <c r="C7" s="16" t="s">
        <v>203</v>
      </c>
      <c r="D7" s="16" t="s">
        <v>204</v>
      </c>
      <c r="E7" s="16" t="s">
        <v>205</v>
      </c>
      <c r="F7" s="16" t="s">
        <v>206</v>
      </c>
      <c r="G7" s="16" t="s">
        <v>207</v>
      </c>
      <c r="H7" s="16" t="s">
        <v>208</v>
      </c>
      <c r="I7" s="16" t="s">
        <v>209</v>
      </c>
      <c r="K7" s="15" t="s">
        <v>210</v>
      </c>
      <c r="L7" s="28" t="s">
        <v>211</v>
      </c>
      <c r="M7" s="28"/>
    </row>
    <row r="8" spans="1:9">
      <c r="A8" s="15">
        <v>2</v>
      </c>
      <c r="B8" s="24">
        <v>1.88</v>
      </c>
      <c r="C8" s="24">
        <v>1.128</v>
      </c>
      <c r="D8" s="24" t="s">
        <v>212</v>
      </c>
      <c r="E8" s="24">
        <v>3.267</v>
      </c>
      <c r="F8" s="24">
        <v>2.659</v>
      </c>
      <c r="G8" s="19">
        <v>0.7979</v>
      </c>
      <c r="H8" s="24" t="s">
        <v>212</v>
      </c>
      <c r="I8" s="24">
        <v>3.276</v>
      </c>
    </row>
    <row r="9" ht="22" spans="1:13">
      <c r="A9" s="15">
        <v>3</v>
      </c>
      <c r="B9" s="24">
        <v>1.023</v>
      </c>
      <c r="C9" s="24">
        <v>1.693</v>
      </c>
      <c r="D9" s="24" t="s">
        <v>212</v>
      </c>
      <c r="E9" s="24">
        <v>2.571</v>
      </c>
      <c r="F9" s="24">
        <v>1.954</v>
      </c>
      <c r="G9" s="19">
        <v>0.8862</v>
      </c>
      <c r="H9" s="24" t="s">
        <v>212</v>
      </c>
      <c r="I9" s="24">
        <v>2.568</v>
      </c>
      <c r="K9" s="27" t="s">
        <v>213</v>
      </c>
      <c r="L9" s="28" t="s">
        <v>214</v>
      </c>
      <c r="M9" s="28"/>
    </row>
    <row r="10" spans="1:9">
      <c r="A10" s="15">
        <v>4</v>
      </c>
      <c r="B10" s="24">
        <v>0.729</v>
      </c>
      <c r="C10" s="24">
        <v>2.059</v>
      </c>
      <c r="D10" s="24" t="s">
        <v>212</v>
      </c>
      <c r="E10" s="24">
        <v>2.282</v>
      </c>
      <c r="F10" s="24">
        <v>1.628</v>
      </c>
      <c r="G10" s="19">
        <v>0.9213</v>
      </c>
      <c r="H10" s="24" t="s">
        <v>212</v>
      </c>
      <c r="I10" s="24">
        <v>2.266</v>
      </c>
    </row>
    <row r="11" ht="22" spans="1:13">
      <c r="A11" s="15">
        <v>5</v>
      </c>
      <c r="B11" s="24">
        <v>0.577</v>
      </c>
      <c r="C11" s="24">
        <v>2.326</v>
      </c>
      <c r="D11" s="24" t="s">
        <v>212</v>
      </c>
      <c r="E11" s="24">
        <v>2.114</v>
      </c>
      <c r="F11" s="24">
        <v>1.427</v>
      </c>
      <c r="G11" s="19">
        <v>0.94</v>
      </c>
      <c r="H11" s="24" t="s">
        <v>212</v>
      </c>
      <c r="I11" s="24">
        <v>2.089</v>
      </c>
      <c r="K11" s="27" t="s">
        <v>215</v>
      </c>
      <c r="L11" s="28" t="s">
        <v>216</v>
      </c>
      <c r="M11" s="28"/>
    </row>
    <row r="12" spans="1:9">
      <c r="A12" s="15">
        <v>6</v>
      </c>
      <c r="B12" s="24">
        <v>0.483</v>
      </c>
      <c r="C12" s="24">
        <v>2.543</v>
      </c>
      <c r="D12" s="24" t="s">
        <v>212</v>
      </c>
      <c r="E12" s="24">
        <v>2.004</v>
      </c>
      <c r="F12" s="24">
        <v>1.287</v>
      </c>
      <c r="G12" s="19">
        <v>0.9515</v>
      </c>
      <c r="H12" s="24">
        <v>0.03</v>
      </c>
      <c r="I12" s="24">
        <v>1.97</v>
      </c>
    </row>
    <row r="13" spans="1:9">
      <c r="A13" s="15">
        <v>7</v>
      </c>
      <c r="B13" s="24">
        <v>0.419</v>
      </c>
      <c r="C13" s="24">
        <v>2.704</v>
      </c>
      <c r="D13" s="24">
        <v>0.076</v>
      </c>
      <c r="E13" s="24">
        <v>1.924</v>
      </c>
      <c r="F13" s="24">
        <v>1.182</v>
      </c>
      <c r="G13" s="19">
        <v>0.9594</v>
      </c>
      <c r="H13" s="24">
        <v>0.118</v>
      </c>
      <c r="I13" s="24">
        <v>1.882</v>
      </c>
    </row>
    <row r="14" spans="1:9">
      <c r="A14" s="15">
        <v>8</v>
      </c>
      <c r="B14" s="24">
        <v>0.373</v>
      </c>
      <c r="C14" s="24">
        <v>2.847</v>
      </c>
      <c r="D14" s="24">
        <v>0.136</v>
      </c>
      <c r="E14" s="24">
        <v>1.864</v>
      </c>
      <c r="F14" s="24">
        <v>1.099</v>
      </c>
      <c r="G14" s="19">
        <v>0.965</v>
      </c>
      <c r="H14" s="24">
        <v>0.185</v>
      </c>
      <c r="I14" s="24">
        <v>1.815</v>
      </c>
    </row>
    <row r="15" spans="1:9">
      <c r="A15" s="15">
        <v>9</v>
      </c>
      <c r="B15" s="24">
        <v>0.337</v>
      </c>
      <c r="C15" s="24">
        <v>2.97</v>
      </c>
      <c r="D15" s="24">
        <v>0.184</v>
      </c>
      <c r="E15" s="24">
        <v>1.816</v>
      </c>
      <c r="F15" s="24">
        <v>1.032</v>
      </c>
      <c r="G15" s="19">
        <v>0.9693</v>
      </c>
      <c r="H15" s="24">
        <v>0.239</v>
      </c>
      <c r="I15" s="24">
        <v>1.761</v>
      </c>
    </row>
    <row r="16" spans="1:9">
      <c r="A16" s="15">
        <v>10</v>
      </c>
      <c r="B16" s="24">
        <v>0.308</v>
      </c>
      <c r="C16" s="24">
        <v>3.078</v>
      </c>
      <c r="D16" s="24">
        <v>0.223</v>
      </c>
      <c r="E16" s="24">
        <v>1.777</v>
      </c>
      <c r="F16" s="24">
        <v>0.975</v>
      </c>
      <c r="G16" s="19">
        <v>0.9727</v>
      </c>
      <c r="H16" s="24">
        <v>0.284</v>
      </c>
      <c r="I16" s="24">
        <v>1.716</v>
      </c>
    </row>
    <row r="17" spans="1:9">
      <c r="A17" s="15">
        <v>11</v>
      </c>
      <c r="B17" s="24">
        <v>0.285</v>
      </c>
      <c r="C17" s="24">
        <v>3.173</v>
      </c>
      <c r="D17" s="24">
        <v>0.256</v>
      </c>
      <c r="E17" s="24">
        <v>1.744</v>
      </c>
      <c r="F17" s="24">
        <v>0.927</v>
      </c>
      <c r="G17" s="19">
        <v>0.9754</v>
      </c>
      <c r="H17" s="24">
        <v>0.321</v>
      </c>
      <c r="I17" s="24">
        <v>1.679</v>
      </c>
    </row>
    <row r="18" spans="1:9">
      <c r="A18" s="15">
        <v>12</v>
      </c>
      <c r="B18" s="24">
        <v>0.266</v>
      </c>
      <c r="C18" s="24">
        <v>3.258</v>
      </c>
      <c r="D18" s="24">
        <v>0.283</v>
      </c>
      <c r="E18" s="24">
        <v>1.717</v>
      </c>
      <c r="F18" s="24">
        <v>0.886</v>
      </c>
      <c r="G18" s="19">
        <v>0.9776</v>
      </c>
      <c r="H18" s="24">
        <v>0.354</v>
      </c>
      <c r="I18" s="24">
        <v>1.64</v>
      </c>
    </row>
    <row r="19" spans="1:9">
      <c r="A19" s="15">
        <v>13</v>
      </c>
      <c r="B19" s="24">
        <v>0.249</v>
      </c>
      <c r="C19" s="24">
        <v>3.336</v>
      </c>
      <c r="D19" s="24">
        <v>0.307</v>
      </c>
      <c r="E19" s="24">
        <v>1.693</v>
      </c>
      <c r="F19" s="24">
        <v>0.85</v>
      </c>
      <c r="G19" s="19">
        <v>0.9794</v>
      </c>
      <c r="H19" s="24">
        <v>0.382</v>
      </c>
      <c r="I19" s="24">
        <v>1.618</v>
      </c>
    </row>
    <row r="20" spans="1:9">
      <c r="A20" s="15">
        <v>14</v>
      </c>
      <c r="B20" s="24">
        <v>0.235</v>
      </c>
      <c r="C20" s="24">
        <v>3.407</v>
      </c>
      <c r="D20" s="24">
        <v>0.328</v>
      </c>
      <c r="E20" s="24">
        <v>1.672</v>
      </c>
      <c r="F20" s="24">
        <v>0.817</v>
      </c>
      <c r="G20" s="19">
        <v>0.981</v>
      </c>
      <c r="H20" s="24">
        <v>0.406</v>
      </c>
      <c r="I20" s="24">
        <v>1.594</v>
      </c>
    </row>
    <row r="21" spans="1:9">
      <c r="A21" s="15">
        <v>15</v>
      </c>
      <c r="B21" s="24">
        <v>0.223</v>
      </c>
      <c r="C21" s="24">
        <v>3.472</v>
      </c>
      <c r="D21" s="24">
        <v>0.347</v>
      </c>
      <c r="E21" s="24">
        <v>1.653</v>
      </c>
      <c r="F21" s="24">
        <v>0.789</v>
      </c>
      <c r="G21" s="19">
        <v>0.9823</v>
      </c>
      <c r="H21" s="24">
        <v>0.428</v>
      </c>
      <c r="I21" s="24">
        <v>1.572</v>
      </c>
    </row>
    <row r="22" spans="1:9">
      <c r="A22" s="15">
        <v>16</v>
      </c>
      <c r="B22" s="24">
        <v>0.212</v>
      </c>
      <c r="C22" s="24">
        <v>3.532</v>
      </c>
      <c r="D22" s="24">
        <v>0.363</v>
      </c>
      <c r="E22" s="24">
        <v>1.637</v>
      </c>
      <c r="F22" s="24">
        <v>0.763</v>
      </c>
      <c r="G22" s="19">
        <v>0.9835</v>
      </c>
      <c r="H22" s="24">
        <v>0.448</v>
      </c>
      <c r="I22" s="24">
        <v>1.552</v>
      </c>
    </row>
    <row r="23" spans="1:9">
      <c r="A23" s="15">
        <v>17</v>
      </c>
      <c r="B23" s="24">
        <v>0.203</v>
      </c>
      <c r="C23" s="24">
        <v>3.588</v>
      </c>
      <c r="D23" s="24">
        <v>0.378</v>
      </c>
      <c r="E23" s="24">
        <v>1.622</v>
      </c>
      <c r="F23" s="24">
        <v>0.739</v>
      </c>
      <c r="G23" s="19">
        <v>0.9845</v>
      </c>
      <c r="H23" s="24">
        <v>0.446</v>
      </c>
      <c r="I23" s="24">
        <v>1.534</v>
      </c>
    </row>
    <row r="24" spans="1:9">
      <c r="A24" s="15">
        <v>18</v>
      </c>
      <c r="B24" s="24">
        <v>0.194</v>
      </c>
      <c r="C24" s="24">
        <v>3.64</v>
      </c>
      <c r="D24" s="24">
        <v>0.391</v>
      </c>
      <c r="E24" s="24">
        <v>1.608</v>
      </c>
      <c r="F24" s="24">
        <v>0.718</v>
      </c>
      <c r="G24" s="19">
        <v>0.9854</v>
      </c>
      <c r="H24" s="24">
        <v>0.482</v>
      </c>
      <c r="I24" s="24">
        <v>1.518</v>
      </c>
    </row>
    <row r="25" spans="1:11">
      <c r="A25" s="15">
        <v>19</v>
      </c>
      <c r="B25" s="24">
        <v>0.187</v>
      </c>
      <c r="C25" s="24">
        <v>3.689</v>
      </c>
      <c r="D25" s="24">
        <v>0.403</v>
      </c>
      <c r="E25" s="24">
        <v>1.597</v>
      </c>
      <c r="F25" s="24">
        <v>0.698</v>
      </c>
      <c r="G25" s="19">
        <v>0.9862</v>
      </c>
      <c r="H25" s="24">
        <v>0.497</v>
      </c>
      <c r="I25" s="24">
        <v>1.503</v>
      </c>
      <c r="K25" s="28" t="s">
        <v>217</v>
      </c>
    </row>
    <row r="26" spans="1:11">
      <c r="A26" s="15">
        <v>20</v>
      </c>
      <c r="B26" s="24">
        <v>0.18</v>
      </c>
      <c r="C26" s="24">
        <v>3.735</v>
      </c>
      <c r="D26" s="24">
        <v>0.415</v>
      </c>
      <c r="E26" s="24">
        <v>1.585</v>
      </c>
      <c r="F26" s="24">
        <v>0.68</v>
      </c>
      <c r="G26" s="19">
        <v>0.9869</v>
      </c>
      <c r="H26" s="24">
        <v>0.51</v>
      </c>
      <c r="I26" s="24">
        <v>1.49</v>
      </c>
      <c r="K26" s="28" t="s">
        <v>218</v>
      </c>
    </row>
    <row r="27" spans="1:11">
      <c r="A27" s="15">
        <v>21</v>
      </c>
      <c r="B27" s="24">
        <v>0.173</v>
      </c>
      <c r="C27" s="24">
        <v>3.778</v>
      </c>
      <c r="D27" s="24">
        <v>0.425</v>
      </c>
      <c r="E27" s="24">
        <v>1.575</v>
      </c>
      <c r="F27" s="24">
        <v>0.663</v>
      </c>
      <c r="G27" s="19">
        <v>0.9876</v>
      </c>
      <c r="H27" s="24">
        <v>0.523</v>
      </c>
      <c r="I27" s="24">
        <v>1.477</v>
      </c>
      <c r="K27" s="28" t="s">
        <v>219</v>
      </c>
    </row>
    <row r="28" spans="1:9">
      <c r="A28" s="15">
        <v>22</v>
      </c>
      <c r="B28" s="24">
        <v>0.167</v>
      </c>
      <c r="C28" s="24">
        <v>3.819</v>
      </c>
      <c r="D28" s="24">
        <v>0.434</v>
      </c>
      <c r="E28" s="24">
        <v>1.566</v>
      </c>
      <c r="F28" s="24">
        <v>0.647</v>
      </c>
      <c r="G28" s="19">
        <v>0.9882</v>
      </c>
      <c r="H28" s="24">
        <v>0.534</v>
      </c>
      <c r="I28" s="24">
        <v>1.466</v>
      </c>
    </row>
    <row r="29" spans="1:9">
      <c r="A29" s="15">
        <v>23</v>
      </c>
      <c r="B29" s="24">
        <v>0.162</v>
      </c>
      <c r="C29" s="24">
        <v>3.858</v>
      </c>
      <c r="D29" s="24">
        <v>0.443</v>
      </c>
      <c r="E29" s="24">
        <v>1.557</v>
      </c>
      <c r="F29" s="24">
        <v>0.633</v>
      </c>
      <c r="G29" s="19">
        <v>0.9887</v>
      </c>
      <c r="H29" s="24">
        <v>0.545</v>
      </c>
      <c r="I29" s="24">
        <v>1.455</v>
      </c>
    </row>
    <row r="30" spans="1:9">
      <c r="A30" s="15">
        <v>24</v>
      </c>
      <c r="B30" s="24">
        <v>0.157</v>
      </c>
      <c r="C30" s="24">
        <v>3.895</v>
      </c>
      <c r="D30" s="24">
        <v>0.451</v>
      </c>
      <c r="E30" s="24">
        <v>1.548</v>
      </c>
      <c r="F30" s="24">
        <v>0.619</v>
      </c>
      <c r="G30" s="19">
        <v>0.9892</v>
      </c>
      <c r="H30" s="24">
        <v>0.555</v>
      </c>
      <c r="I30" s="24">
        <v>1.445</v>
      </c>
    </row>
    <row r="31" spans="1:9">
      <c r="A31" s="15">
        <v>25</v>
      </c>
      <c r="B31" s="24">
        <v>0.153</v>
      </c>
      <c r="C31" s="24">
        <v>3.931</v>
      </c>
      <c r="D31" s="24">
        <v>0.459</v>
      </c>
      <c r="E31" s="24">
        <v>1.541</v>
      </c>
      <c r="F31" s="24">
        <v>0.606</v>
      </c>
      <c r="G31" s="19">
        <v>0.9896</v>
      </c>
      <c r="H31" s="24">
        <v>0.565</v>
      </c>
      <c r="I31" s="24">
        <v>1.435</v>
      </c>
    </row>
    <row r="33" ht="22" spans="1:7">
      <c r="A33" s="15" t="s">
        <v>220</v>
      </c>
      <c r="C33" s="15" t="s">
        <v>221</v>
      </c>
      <c r="E33" s="15" t="s">
        <v>220</v>
      </c>
      <c r="G33" s="15" t="s">
        <v>221</v>
      </c>
    </row>
    <row r="34" ht="22" spans="1:5">
      <c r="A34" s="15" t="s">
        <v>222</v>
      </c>
      <c r="E34" s="15" t="s">
        <v>223</v>
      </c>
    </row>
    <row r="35" ht="22" spans="1:5">
      <c r="A35" s="15" t="s">
        <v>224</v>
      </c>
      <c r="E35" s="15" t="s">
        <v>225</v>
      </c>
    </row>
    <row r="36" ht="22" spans="1:5">
      <c r="A36" s="15" t="s">
        <v>226</v>
      </c>
      <c r="E36" s="15" t="s">
        <v>227</v>
      </c>
    </row>
    <row r="37" spans="2:6">
      <c r="B37" s="15" t="s">
        <v>228</v>
      </c>
      <c r="F37" s="15" t="s">
        <v>229</v>
      </c>
    </row>
    <row r="38" spans="2:9">
      <c r="B38" s="25" t="s">
        <v>230</v>
      </c>
      <c r="C38" s="22" t="s">
        <v>193</v>
      </c>
      <c r="D38" s="22"/>
      <c r="E38" s="22"/>
      <c r="F38" s="15" t="s">
        <v>231</v>
      </c>
      <c r="G38" s="22" t="s">
        <v>193</v>
      </c>
      <c r="H38" s="22"/>
      <c r="I38" s="22"/>
    </row>
    <row r="39" spans="1:9">
      <c r="A39" s="23" t="s">
        <v>197</v>
      </c>
      <c r="B39" s="23" t="s">
        <v>198</v>
      </c>
      <c r="C39" s="23" t="s">
        <v>199</v>
      </c>
      <c r="D39" s="23" t="s">
        <v>198</v>
      </c>
      <c r="E39" s="23"/>
      <c r="F39" s="23" t="s">
        <v>198</v>
      </c>
      <c r="G39" s="23" t="s">
        <v>199</v>
      </c>
      <c r="H39" s="23" t="s">
        <v>198</v>
      </c>
      <c r="I39" s="23"/>
    </row>
    <row r="40" ht="16.5" customHeight="1" spans="1:9">
      <c r="A40" s="23"/>
      <c r="B40" s="23"/>
      <c r="C40" s="23"/>
      <c r="D40" s="23"/>
      <c r="E40" s="23"/>
      <c r="F40" s="23"/>
      <c r="G40" s="23"/>
      <c r="H40" s="23"/>
      <c r="I40" s="23"/>
    </row>
    <row r="41" spans="1:9">
      <c r="A41" s="23"/>
      <c r="B41" s="23"/>
      <c r="C41" s="23"/>
      <c r="D41" s="23"/>
      <c r="E41" s="23"/>
      <c r="F41" s="23"/>
      <c r="G41" s="23"/>
      <c r="H41" s="23"/>
      <c r="I41" s="23"/>
    </row>
    <row r="42" ht="25" spans="1:11">
      <c r="A42" s="26" t="s">
        <v>66</v>
      </c>
      <c r="B42" s="26" t="s">
        <v>202</v>
      </c>
      <c r="C42" s="26" t="s">
        <v>203</v>
      </c>
      <c r="D42" s="26" t="s">
        <v>204</v>
      </c>
      <c r="E42" s="26" t="s">
        <v>205</v>
      </c>
      <c r="F42" s="26" t="s">
        <v>232</v>
      </c>
      <c r="G42" s="26" t="s">
        <v>203</v>
      </c>
      <c r="H42" s="26" t="s">
        <v>204</v>
      </c>
      <c r="I42" s="26" t="s">
        <v>205</v>
      </c>
      <c r="K42" s="28"/>
    </row>
    <row r="43" spans="1:11">
      <c r="A43" s="15">
        <v>2</v>
      </c>
      <c r="B43" s="24">
        <v>1.88</v>
      </c>
      <c r="C43" s="24">
        <v>1.128</v>
      </c>
      <c r="D43" s="24" t="s">
        <v>212</v>
      </c>
      <c r="E43" s="24">
        <v>3.267</v>
      </c>
      <c r="F43" s="24">
        <v>2.66</v>
      </c>
      <c r="G43" s="24">
        <v>1.128</v>
      </c>
      <c r="H43" s="24" t="s">
        <v>212</v>
      </c>
      <c r="I43" s="24">
        <v>3.267</v>
      </c>
      <c r="K43" s="28"/>
    </row>
    <row r="44" spans="1:11">
      <c r="A44" s="15">
        <v>3</v>
      </c>
      <c r="B44" s="24">
        <v>1.187</v>
      </c>
      <c r="C44" s="24">
        <v>1.693</v>
      </c>
      <c r="D44" s="24" t="s">
        <v>212</v>
      </c>
      <c r="E44" s="24">
        <v>2.574</v>
      </c>
      <c r="F44" s="24">
        <v>1.772</v>
      </c>
      <c r="G44" s="24">
        <v>1.693</v>
      </c>
      <c r="H44" s="24" t="s">
        <v>212</v>
      </c>
      <c r="I44" s="24">
        <v>2.574</v>
      </c>
      <c r="K44" s="28"/>
    </row>
    <row r="45" spans="1:9">
      <c r="A45" s="15">
        <v>4</v>
      </c>
      <c r="B45" s="24">
        <v>0.796</v>
      </c>
      <c r="C45" s="24">
        <v>2.059</v>
      </c>
      <c r="D45" s="24" t="s">
        <v>212</v>
      </c>
      <c r="E45" s="24">
        <v>2.282</v>
      </c>
      <c r="F45" s="24">
        <v>1.457</v>
      </c>
      <c r="G45" s="24">
        <v>2.059</v>
      </c>
      <c r="H45" s="24" t="s">
        <v>212</v>
      </c>
      <c r="I45" s="24">
        <v>2.282</v>
      </c>
    </row>
    <row r="46" spans="1:9">
      <c r="A46" s="15">
        <v>5</v>
      </c>
      <c r="B46" s="24">
        <v>0.691</v>
      </c>
      <c r="C46" s="24">
        <v>2.326</v>
      </c>
      <c r="D46" s="24" t="s">
        <v>212</v>
      </c>
      <c r="E46" s="24">
        <v>2.114</v>
      </c>
      <c r="F46" s="24">
        <v>1.29</v>
      </c>
      <c r="G46" s="24">
        <v>2.326</v>
      </c>
      <c r="H46" s="24" t="s">
        <v>212</v>
      </c>
      <c r="I46" s="24">
        <v>2.114</v>
      </c>
    </row>
    <row r="47" spans="1:9">
      <c r="A47" s="15">
        <v>6</v>
      </c>
      <c r="B47" s="24">
        <v>0.548</v>
      </c>
      <c r="C47" s="24">
        <v>2.534</v>
      </c>
      <c r="D47" s="24" t="s">
        <v>212</v>
      </c>
      <c r="E47" s="24">
        <v>2.004</v>
      </c>
      <c r="F47" s="24">
        <v>1.184</v>
      </c>
      <c r="G47" s="24">
        <v>2.534</v>
      </c>
      <c r="H47" s="24" t="s">
        <v>212</v>
      </c>
      <c r="I47" s="24">
        <v>2.004</v>
      </c>
    </row>
    <row r="48" spans="1:9">
      <c r="A48" s="15">
        <v>7</v>
      </c>
      <c r="B48" s="24">
        <v>0.508</v>
      </c>
      <c r="C48" s="24">
        <v>2.704</v>
      </c>
      <c r="D48" s="24">
        <v>0.076</v>
      </c>
      <c r="E48" s="24">
        <v>1.924</v>
      </c>
      <c r="F48" s="24">
        <v>1.109</v>
      </c>
      <c r="G48" s="24">
        <v>2.704</v>
      </c>
      <c r="H48" s="24">
        <v>0.076</v>
      </c>
      <c r="I48" s="24">
        <v>1.924</v>
      </c>
    </row>
    <row r="49" spans="1:9">
      <c r="A49" s="15">
        <v>8</v>
      </c>
      <c r="B49" s="24">
        <v>0.433</v>
      </c>
      <c r="C49" s="24">
        <v>2.847</v>
      </c>
      <c r="D49" s="24">
        <v>0.136</v>
      </c>
      <c r="E49" s="24">
        <v>1.864</v>
      </c>
      <c r="F49" s="24">
        <v>1.054</v>
      </c>
      <c r="G49" s="24">
        <v>2.847</v>
      </c>
      <c r="H49" s="24">
        <v>0.136</v>
      </c>
      <c r="I49" s="24">
        <v>1.864</v>
      </c>
    </row>
    <row r="50" spans="1:9">
      <c r="A50" s="15">
        <v>9</v>
      </c>
      <c r="B50" s="24">
        <v>0.412</v>
      </c>
      <c r="C50" s="24">
        <v>2.97</v>
      </c>
      <c r="D50" s="24">
        <v>0.184</v>
      </c>
      <c r="E50" s="24">
        <v>1.816</v>
      </c>
      <c r="F50" s="24">
        <v>1.01</v>
      </c>
      <c r="G50" s="24">
        <v>2.97</v>
      </c>
      <c r="H50" s="24">
        <v>0.184</v>
      </c>
      <c r="I50" s="24">
        <v>1.816</v>
      </c>
    </row>
    <row r="51" spans="1:9">
      <c r="A51" s="15">
        <v>10</v>
      </c>
      <c r="B51" s="24">
        <v>0.362</v>
      </c>
      <c r="C51" s="24">
        <v>3.078</v>
      </c>
      <c r="D51" s="24">
        <v>0.223</v>
      </c>
      <c r="E51" s="24">
        <v>1.777</v>
      </c>
      <c r="F51" s="24">
        <v>0.975</v>
      </c>
      <c r="G51" s="24">
        <v>3.078</v>
      </c>
      <c r="H51" s="24">
        <v>0.223</v>
      </c>
      <c r="I51" s="24">
        <v>1.777</v>
      </c>
    </row>
    <row r="53" ht="22" spans="1:7">
      <c r="A53" s="15" t="s">
        <v>220</v>
      </c>
      <c r="C53" s="15" t="s">
        <v>221</v>
      </c>
      <c r="E53" s="15" t="s">
        <v>220</v>
      </c>
      <c r="G53" s="15" t="s">
        <v>233</v>
      </c>
    </row>
    <row r="54" ht="22" spans="1:5">
      <c r="A54" s="15" t="s">
        <v>222</v>
      </c>
      <c r="E54" s="15" t="s">
        <v>234</v>
      </c>
    </row>
    <row r="55" ht="22" spans="1:5">
      <c r="A55" s="15" t="s">
        <v>224</v>
      </c>
      <c r="E55" s="15" t="s">
        <v>235</v>
      </c>
    </row>
    <row r="56" ht="22" spans="1:5">
      <c r="A56" s="15" t="s">
        <v>236</v>
      </c>
      <c r="E56" s="15" t="s">
        <v>237</v>
      </c>
    </row>
  </sheetData>
  <mergeCells count="44">
    <mergeCell ref="A1:I1"/>
    <mergeCell ref="C2:E2"/>
    <mergeCell ref="H2:I2"/>
    <mergeCell ref="C3:E3"/>
    <mergeCell ref="G3:I3"/>
    <mergeCell ref="L3:M3"/>
    <mergeCell ref="L4:M4"/>
    <mergeCell ref="L7:M7"/>
    <mergeCell ref="L9:M9"/>
    <mergeCell ref="L11:M11"/>
    <mergeCell ref="A33:B33"/>
    <mergeCell ref="E33:F33"/>
    <mergeCell ref="A34:B34"/>
    <mergeCell ref="E34:F34"/>
    <mergeCell ref="A35:B35"/>
    <mergeCell ref="E35:F35"/>
    <mergeCell ref="A36:B36"/>
    <mergeCell ref="E36:F36"/>
    <mergeCell ref="B37:E37"/>
    <mergeCell ref="F37:I37"/>
    <mergeCell ref="C38:E38"/>
    <mergeCell ref="G38:I38"/>
    <mergeCell ref="A53:B53"/>
    <mergeCell ref="E53:F53"/>
    <mergeCell ref="A54:B54"/>
    <mergeCell ref="E54:F54"/>
    <mergeCell ref="A55:B55"/>
    <mergeCell ref="E55:F55"/>
    <mergeCell ref="A56:B56"/>
    <mergeCell ref="E56:F56"/>
    <mergeCell ref="A4:A6"/>
    <mergeCell ref="A39:A41"/>
    <mergeCell ref="B4:B6"/>
    <mergeCell ref="B39:B41"/>
    <mergeCell ref="C4:C6"/>
    <mergeCell ref="C39:C41"/>
    <mergeCell ref="F4:F6"/>
    <mergeCell ref="F39:F41"/>
    <mergeCell ref="G4:G6"/>
    <mergeCell ref="G39:G41"/>
    <mergeCell ref="D39:E41"/>
    <mergeCell ref="H39:I41"/>
    <mergeCell ref="D4:E6"/>
    <mergeCell ref="H4:I6"/>
  </mergeCells>
  <pageMargins left="0.75" right="0.75" top="1" bottom="1" header="0.5" footer="0.5"/>
  <pageSetup paperSize="9" orientation="portrait" horizontalDpi="4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SheetLayoutView="60" workbookViewId="0">
      <selection activeCell="I18" sqref="I18"/>
    </sheetView>
  </sheetViews>
  <sheetFormatPr defaultColWidth="9.14285714285714" defaultRowHeight="17.6"/>
  <cols>
    <col min="12" max="12" width="2.5" customWidth="1"/>
    <col min="13" max="44" width="5.75" customWidth="1"/>
  </cols>
  <sheetData>
    <row r="1" ht="26" spans="1:11">
      <c r="A1" s="14" t="s">
        <v>238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">
      <c r="A2" t="s">
        <v>239</v>
      </c>
    </row>
    <row r="3" spans="1:1">
      <c r="A3" t="s">
        <v>240</v>
      </c>
    </row>
    <row r="4" spans="1:1">
      <c r="A4" t="s">
        <v>241</v>
      </c>
    </row>
    <row r="8" spans="6:6">
      <c r="F8" t="s">
        <v>242</v>
      </c>
    </row>
    <row r="13" ht="20.4" spans="1:11">
      <c r="A13" s="15" t="s">
        <v>243</v>
      </c>
      <c r="B13" s="16" t="s">
        <v>244</v>
      </c>
      <c r="C13" s="16" t="s">
        <v>245</v>
      </c>
      <c r="D13" s="16" t="s">
        <v>246</v>
      </c>
      <c r="E13" s="16" t="s">
        <v>247</v>
      </c>
      <c r="F13" s="16" t="s">
        <v>248</v>
      </c>
      <c r="G13" s="16" t="s">
        <v>249</v>
      </c>
      <c r="H13" s="16" t="s">
        <v>250</v>
      </c>
      <c r="I13" s="16" t="s">
        <v>251</v>
      </c>
      <c r="J13" s="16" t="s">
        <v>252</v>
      </c>
      <c r="K13" s="16" t="s">
        <v>253</v>
      </c>
    </row>
    <row r="14" spans="1:11">
      <c r="A14" s="17">
        <v>4</v>
      </c>
      <c r="B14" s="18">
        <v>3e-5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17">
        <v>3.9</v>
      </c>
      <c r="B15" s="18">
        <v>5e-5</v>
      </c>
      <c r="C15" s="18">
        <v>5e-5</v>
      </c>
      <c r="D15" s="18">
        <v>4e-5</v>
      </c>
      <c r="E15" s="18">
        <v>4e-5</v>
      </c>
      <c r="F15" s="18">
        <v>4e-5</v>
      </c>
      <c r="G15" s="18">
        <v>4e-5</v>
      </c>
      <c r="H15" s="18">
        <v>4e-5</v>
      </c>
      <c r="I15" s="18">
        <v>4e-5</v>
      </c>
      <c r="J15" s="18">
        <v>3e-5</v>
      </c>
      <c r="K15" s="18">
        <v>3e-5</v>
      </c>
    </row>
    <row r="16" spans="1:11">
      <c r="A16" s="17">
        <v>3.8</v>
      </c>
      <c r="B16" s="18">
        <v>7e-5</v>
      </c>
      <c r="C16" s="18">
        <v>7e-5</v>
      </c>
      <c r="D16" s="18">
        <v>7e-5</v>
      </c>
      <c r="E16" s="18">
        <v>6e-5</v>
      </c>
      <c r="F16" s="18">
        <v>6e-5</v>
      </c>
      <c r="G16" s="18">
        <v>6e-5</v>
      </c>
      <c r="H16" s="18">
        <v>6e-5</v>
      </c>
      <c r="I16" s="18">
        <v>5e-5</v>
      </c>
      <c r="J16" s="18">
        <v>5e-5</v>
      </c>
      <c r="K16" s="18">
        <v>5e-5</v>
      </c>
    </row>
    <row r="17" spans="1:11">
      <c r="A17" s="17">
        <v>3.7</v>
      </c>
      <c r="B17" s="18">
        <v>0.00011</v>
      </c>
      <c r="C17" s="18">
        <v>0.0001</v>
      </c>
      <c r="D17" s="18">
        <v>0.0001</v>
      </c>
      <c r="E17" s="18">
        <v>0.0001</v>
      </c>
      <c r="F17" s="18">
        <v>9e-5</v>
      </c>
      <c r="G17" s="18">
        <v>9e-5</v>
      </c>
      <c r="H17" s="18">
        <v>8.1e-5</v>
      </c>
      <c r="I17" s="18">
        <v>8.1e-5</v>
      </c>
      <c r="J17" s="18">
        <v>8.1e-5</v>
      </c>
      <c r="K17" s="18">
        <v>8.1e-5</v>
      </c>
    </row>
    <row r="18" spans="1:11">
      <c r="A18" s="17">
        <v>3.6</v>
      </c>
      <c r="B18" s="18">
        <v>0.00016</v>
      </c>
      <c r="C18" s="18">
        <v>0.00015</v>
      </c>
      <c r="D18" s="18">
        <v>0.00015</v>
      </c>
      <c r="E18" s="18">
        <v>0.00014</v>
      </c>
      <c r="F18" s="18">
        <v>0.00014</v>
      </c>
      <c r="G18" s="18">
        <v>0.000129</v>
      </c>
      <c r="H18" s="18">
        <v>0.00013</v>
      </c>
      <c r="I18" s="18">
        <v>0.00012</v>
      </c>
      <c r="J18" s="18">
        <v>0.00012</v>
      </c>
      <c r="K18" s="18">
        <v>0.00011</v>
      </c>
    </row>
    <row r="19" spans="1:11">
      <c r="A19" s="17">
        <v>3.5</v>
      </c>
      <c r="B19" s="18">
        <v>0.00023</v>
      </c>
      <c r="C19" s="18">
        <v>0.00022</v>
      </c>
      <c r="D19" s="18">
        <v>0.00022</v>
      </c>
      <c r="E19" s="18">
        <v>0.00021</v>
      </c>
      <c r="F19" s="18">
        <v>0.0002</v>
      </c>
      <c r="G19" s="18">
        <v>0.00019</v>
      </c>
      <c r="H19" s="18">
        <v>0.00019</v>
      </c>
      <c r="I19" s="18">
        <v>0.00018</v>
      </c>
      <c r="J19" s="18">
        <v>0.00017</v>
      </c>
      <c r="K19" s="18">
        <v>0.00017</v>
      </c>
    </row>
    <row r="20" spans="1:11">
      <c r="A20" s="17">
        <v>3.4</v>
      </c>
      <c r="B20" s="18">
        <v>0.00034</v>
      </c>
      <c r="C20" s="18">
        <v>0.00032</v>
      </c>
      <c r="D20" s="18">
        <v>0.00031</v>
      </c>
      <c r="E20" s="18">
        <v>0.0003</v>
      </c>
      <c r="F20" s="18">
        <v>0.00029</v>
      </c>
      <c r="G20" s="18">
        <v>0.00028</v>
      </c>
      <c r="H20" s="18">
        <v>0.00027</v>
      </c>
      <c r="I20" s="18">
        <v>0.00026</v>
      </c>
      <c r="J20" s="18">
        <v>0.00025</v>
      </c>
      <c r="K20" s="18">
        <v>0.00024</v>
      </c>
    </row>
    <row r="21" spans="1:11">
      <c r="A21" s="17">
        <v>3.3</v>
      </c>
      <c r="B21" s="18">
        <v>0.00048</v>
      </c>
      <c r="C21" s="18">
        <v>0.00047</v>
      </c>
      <c r="D21" s="18">
        <v>0.00045</v>
      </c>
      <c r="E21" s="18">
        <v>0.00043</v>
      </c>
      <c r="F21" s="18">
        <v>0.00042</v>
      </c>
      <c r="G21" s="18">
        <v>0.0004</v>
      </c>
      <c r="H21" s="18">
        <v>0.00039</v>
      </c>
      <c r="I21" s="18">
        <v>0.00038</v>
      </c>
      <c r="J21" s="18">
        <v>0.00036</v>
      </c>
      <c r="K21" s="18">
        <v>0.00035</v>
      </c>
    </row>
    <row r="22" spans="1:11">
      <c r="A22" s="17">
        <v>3.2</v>
      </c>
      <c r="B22" s="18">
        <v>0.00069</v>
      </c>
      <c r="C22" s="18">
        <v>0.00066</v>
      </c>
      <c r="D22" s="18">
        <v>0.00064</v>
      </c>
      <c r="E22" s="18">
        <v>0.00062</v>
      </c>
      <c r="F22" s="18">
        <v>0.0006</v>
      </c>
      <c r="G22" s="18">
        <v>0.00058</v>
      </c>
      <c r="H22" s="18">
        <v>0.00056</v>
      </c>
      <c r="I22" s="18">
        <v>0.00054</v>
      </c>
      <c r="J22" s="18">
        <v>0.00052</v>
      </c>
      <c r="K22" s="18">
        <v>0.0005</v>
      </c>
    </row>
    <row r="23" spans="1:11">
      <c r="A23" s="17">
        <v>3.1</v>
      </c>
      <c r="B23" s="18">
        <v>0.00097</v>
      </c>
      <c r="C23" s="18">
        <v>0.00094</v>
      </c>
      <c r="D23" s="18">
        <v>0.0009</v>
      </c>
      <c r="E23" s="18">
        <v>0.00087</v>
      </c>
      <c r="F23" s="18">
        <v>0.00084</v>
      </c>
      <c r="G23" s="18">
        <v>0.00082</v>
      </c>
      <c r="H23" s="18">
        <v>0.00079</v>
      </c>
      <c r="I23" s="18">
        <v>0.00076</v>
      </c>
      <c r="J23" s="18">
        <v>0.00074</v>
      </c>
      <c r="K23" s="18">
        <v>0.00071</v>
      </c>
    </row>
    <row r="24" spans="1:11">
      <c r="A24" s="17">
        <v>3</v>
      </c>
      <c r="B24" s="18">
        <v>0.00135</v>
      </c>
      <c r="C24" s="18">
        <v>0.00131</v>
      </c>
      <c r="D24" s="18">
        <v>0.00126</v>
      </c>
      <c r="E24" s="18">
        <v>0.00122</v>
      </c>
      <c r="F24" s="18">
        <v>0.00118</v>
      </c>
      <c r="G24" s="18">
        <v>0.00114</v>
      </c>
      <c r="H24" s="18">
        <v>0.00111</v>
      </c>
      <c r="I24" s="18">
        <v>0.00107</v>
      </c>
      <c r="J24" s="18">
        <v>0.00104</v>
      </c>
      <c r="K24" s="18">
        <v>0.001</v>
      </c>
    </row>
    <row r="25" spans="1:11">
      <c r="A25" s="17">
        <v>2.9</v>
      </c>
      <c r="B25" s="19">
        <v>0.0019</v>
      </c>
      <c r="C25" s="19">
        <v>0.0018</v>
      </c>
      <c r="D25" s="19">
        <v>0.0018</v>
      </c>
      <c r="E25" s="19">
        <v>0.0017</v>
      </c>
      <c r="F25" s="19">
        <v>0.0016</v>
      </c>
      <c r="G25" s="19">
        <v>0.0016</v>
      </c>
      <c r="H25" s="19">
        <v>0.0015</v>
      </c>
      <c r="I25" s="19">
        <v>0.0015</v>
      </c>
      <c r="J25" s="19">
        <v>0.0014</v>
      </c>
      <c r="K25" s="19">
        <v>0.0014</v>
      </c>
    </row>
    <row r="26" spans="1:11">
      <c r="A26" s="17">
        <v>2.8</v>
      </c>
      <c r="B26" s="19">
        <v>0.0026</v>
      </c>
      <c r="C26" s="19">
        <v>0.00254</v>
      </c>
      <c r="D26" s="19">
        <v>0.0024</v>
      </c>
      <c r="E26" s="19">
        <v>0.0023</v>
      </c>
      <c r="F26" s="19">
        <v>0.0023</v>
      </c>
      <c r="G26" s="19">
        <v>0.0022</v>
      </c>
      <c r="H26" s="19">
        <v>0.0021</v>
      </c>
      <c r="I26" s="19">
        <v>0.0021</v>
      </c>
      <c r="J26" s="19">
        <v>0.002</v>
      </c>
      <c r="K26" s="19">
        <v>0.0019</v>
      </c>
    </row>
    <row r="27" spans="1:11">
      <c r="A27" s="17">
        <v>2.7</v>
      </c>
      <c r="B27" s="19">
        <v>0.0035</v>
      </c>
      <c r="C27" s="19">
        <v>0.0034</v>
      </c>
      <c r="D27" s="19">
        <v>0.0033</v>
      </c>
      <c r="E27" s="19">
        <v>0.0032</v>
      </c>
      <c r="F27" s="19">
        <v>0.0031</v>
      </c>
      <c r="G27" s="19">
        <v>0.003</v>
      </c>
      <c r="H27" s="19">
        <v>0.0029</v>
      </c>
      <c r="I27" s="19">
        <v>0.0028</v>
      </c>
      <c r="J27" s="19">
        <v>0.0027</v>
      </c>
      <c r="K27" s="19">
        <v>0.0026</v>
      </c>
    </row>
    <row r="28" spans="1:11">
      <c r="A28" s="17">
        <v>2.6</v>
      </c>
      <c r="B28" s="19">
        <v>0.0047</v>
      </c>
      <c r="C28" s="19">
        <v>0.0045</v>
      </c>
      <c r="D28" s="19">
        <v>0.0044</v>
      </c>
      <c r="E28" s="19">
        <v>0.0043</v>
      </c>
      <c r="F28" s="19">
        <v>0.0041</v>
      </c>
      <c r="G28" s="19">
        <v>0.004</v>
      </c>
      <c r="H28" s="19">
        <v>0.0039</v>
      </c>
      <c r="I28" s="19">
        <v>0.0038</v>
      </c>
      <c r="J28" s="19">
        <v>0.0037</v>
      </c>
      <c r="K28" s="19">
        <v>0.0036</v>
      </c>
    </row>
    <row r="29" spans="1:11">
      <c r="A29" s="17">
        <v>2.5</v>
      </c>
      <c r="B29" s="19">
        <v>0.0062</v>
      </c>
      <c r="C29" s="19">
        <v>0.006</v>
      </c>
      <c r="D29" s="19">
        <v>0.0059</v>
      </c>
      <c r="E29" s="19">
        <v>0.0057</v>
      </c>
      <c r="F29" s="19">
        <v>0.0055</v>
      </c>
      <c r="G29" s="19">
        <v>0.0054</v>
      </c>
      <c r="H29" s="19">
        <v>0.0052</v>
      </c>
      <c r="I29" s="19">
        <v>0.0051</v>
      </c>
      <c r="J29" s="19">
        <v>0.0049</v>
      </c>
      <c r="K29" s="19">
        <v>0.0048</v>
      </c>
    </row>
    <row r="30" spans="1:11">
      <c r="A30" s="17">
        <v>2.4</v>
      </c>
      <c r="B30" s="19">
        <v>0.0082</v>
      </c>
      <c r="C30" s="19">
        <v>0.008</v>
      </c>
      <c r="D30" s="19">
        <v>0.0078</v>
      </c>
      <c r="E30" s="19">
        <v>0.0075</v>
      </c>
      <c r="F30" s="19">
        <v>0.0073</v>
      </c>
      <c r="G30" s="19">
        <v>0.0071</v>
      </c>
      <c r="H30" s="19">
        <v>0.0069</v>
      </c>
      <c r="I30" s="19">
        <v>0.0068</v>
      </c>
      <c r="J30" s="19">
        <v>0.0066</v>
      </c>
      <c r="K30" s="19">
        <v>0.0064</v>
      </c>
    </row>
    <row r="31" spans="1:11">
      <c r="A31" s="17">
        <v>2.3</v>
      </c>
      <c r="B31" s="19">
        <v>0.0107</v>
      </c>
      <c r="C31" s="19">
        <v>0.0104</v>
      </c>
      <c r="D31" s="19">
        <v>0.0102</v>
      </c>
      <c r="E31" s="19">
        <v>0.0099</v>
      </c>
      <c r="F31" s="19">
        <v>0.0096</v>
      </c>
      <c r="G31" s="19">
        <v>0.0094</v>
      </c>
      <c r="H31" s="19">
        <v>0.0091</v>
      </c>
      <c r="I31" s="19">
        <v>0.0089</v>
      </c>
      <c r="J31" s="19">
        <v>0.0087</v>
      </c>
      <c r="K31" s="19">
        <v>0.0084</v>
      </c>
    </row>
    <row r="32" spans="1:11">
      <c r="A32" s="17">
        <v>2.2</v>
      </c>
      <c r="B32" s="19">
        <v>0.0139</v>
      </c>
      <c r="C32" s="19">
        <v>0.0136</v>
      </c>
      <c r="D32" s="19">
        <v>0.0132</v>
      </c>
      <c r="E32" s="19">
        <v>0.0129</v>
      </c>
      <c r="F32" s="19">
        <v>0.0125</v>
      </c>
      <c r="G32" s="19">
        <v>0.0122</v>
      </c>
      <c r="H32" s="19">
        <v>0.0119</v>
      </c>
      <c r="I32" s="19">
        <v>0.0116</v>
      </c>
      <c r="J32" s="19">
        <v>0.0113</v>
      </c>
      <c r="K32" s="19">
        <v>0.011</v>
      </c>
    </row>
    <row r="33" spans="1:11">
      <c r="A33" s="17">
        <v>2.1</v>
      </c>
      <c r="B33" s="19">
        <v>0.0179</v>
      </c>
      <c r="C33" s="19">
        <v>0.0174</v>
      </c>
      <c r="D33" s="19">
        <v>0.017</v>
      </c>
      <c r="E33" s="19">
        <v>0.0166</v>
      </c>
      <c r="F33" s="19">
        <v>0.0162</v>
      </c>
      <c r="G33" s="19">
        <v>0.0158</v>
      </c>
      <c r="H33" s="19">
        <v>0.0154</v>
      </c>
      <c r="I33" s="19">
        <v>0.015</v>
      </c>
      <c r="J33" s="19">
        <v>0.0146</v>
      </c>
      <c r="K33" s="19">
        <v>0.0143</v>
      </c>
    </row>
    <row r="34" spans="1:11">
      <c r="A34" s="17">
        <v>2</v>
      </c>
      <c r="B34" s="19">
        <v>0.0228</v>
      </c>
      <c r="C34" s="19">
        <v>0.0222</v>
      </c>
      <c r="D34" s="19">
        <v>0.0217</v>
      </c>
      <c r="E34" s="19">
        <v>0.0212</v>
      </c>
      <c r="F34" s="19">
        <v>0.0207</v>
      </c>
      <c r="G34" s="19">
        <v>0.0202</v>
      </c>
      <c r="H34" s="19">
        <v>0.0197</v>
      </c>
      <c r="I34" s="19">
        <v>0.0192</v>
      </c>
      <c r="J34" s="19">
        <v>0.0188</v>
      </c>
      <c r="K34" s="19">
        <v>0.0183</v>
      </c>
    </row>
    <row r="35" spans="1:11">
      <c r="A35" s="17">
        <v>1.9</v>
      </c>
      <c r="B35" s="19">
        <v>0.0287</v>
      </c>
      <c r="C35" s="19">
        <v>0.0281</v>
      </c>
      <c r="D35" s="19">
        <v>0.0274</v>
      </c>
      <c r="E35" s="19">
        <v>0.0268</v>
      </c>
      <c r="F35" s="19">
        <v>0.0262</v>
      </c>
      <c r="G35" s="19">
        <v>0.0256</v>
      </c>
      <c r="H35" s="19">
        <v>0.025</v>
      </c>
      <c r="I35" s="19">
        <v>0.0244</v>
      </c>
      <c r="J35" s="19">
        <v>0.0239</v>
      </c>
      <c r="K35" s="19">
        <v>0.0233</v>
      </c>
    </row>
    <row r="36" spans="1:11">
      <c r="A36" s="17">
        <v>1.8</v>
      </c>
      <c r="B36" s="19">
        <v>0.0359</v>
      </c>
      <c r="C36" s="19">
        <v>0.0351</v>
      </c>
      <c r="D36" s="19">
        <v>0.0344</v>
      </c>
      <c r="E36" s="19">
        <v>0.0336</v>
      </c>
      <c r="F36" s="19">
        <v>0.0329</v>
      </c>
      <c r="G36" s="19">
        <v>0.0322</v>
      </c>
      <c r="H36" s="19">
        <v>0.0314</v>
      </c>
      <c r="I36" s="19">
        <v>0.0307</v>
      </c>
      <c r="J36" s="19">
        <v>0.0301</v>
      </c>
      <c r="K36" s="19">
        <v>0.0294</v>
      </c>
    </row>
    <row r="37" spans="1:11">
      <c r="A37" s="17">
        <v>1.7</v>
      </c>
      <c r="B37" s="19">
        <v>0.0446</v>
      </c>
      <c r="C37" s="19">
        <v>0.0436</v>
      </c>
      <c r="D37" s="19">
        <v>0.0427</v>
      </c>
      <c r="E37" s="19">
        <v>0.0418</v>
      </c>
      <c r="F37" s="19">
        <v>0.0409</v>
      </c>
      <c r="G37" s="19">
        <v>0.0401</v>
      </c>
      <c r="H37" s="19">
        <v>0.0392</v>
      </c>
      <c r="I37" s="19">
        <v>0.0384</v>
      </c>
      <c r="J37" s="19">
        <v>0.0375</v>
      </c>
      <c r="K37" s="19">
        <v>0.0367</v>
      </c>
    </row>
    <row r="38" spans="1:11">
      <c r="A38" s="17">
        <v>1.6</v>
      </c>
      <c r="B38" s="19">
        <v>0.0548</v>
      </c>
      <c r="C38" s="19">
        <v>0.0537</v>
      </c>
      <c r="D38" s="19">
        <v>0.0526</v>
      </c>
      <c r="E38" s="19">
        <v>0.0516</v>
      </c>
      <c r="F38" s="19">
        <v>0.0505</v>
      </c>
      <c r="G38" s="19">
        <v>0.0495</v>
      </c>
      <c r="H38" s="19">
        <v>0.0485</v>
      </c>
      <c r="I38" s="19">
        <v>0.0475</v>
      </c>
      <c r="J38" s="19">
        <v>0.0465</v>
      </c>
      <c r="K38" s="19">
        <v>0.0455</v>
      </c>
    </row>
    <row r="39" spans="1:11">
      <c r="A39" s="17">
        <v>1.5</v>
      </c>
      <c r="B39" s="19">
        <v>0.0668</v>
      </c>
      <c r="C39" s="19">
        <v>0.0655</v>
      </c>
      <c r="D39" s="19">
        <v>0.0643</v>
      </c>
      <c r="E39" s="19">
        <v>0.063</v>
      </c>
      <c r="F39" s="19">
        <v>0.0618</v>
      </c>
      <c r="G39" s="19">
        <v>0.0606</v>
      </c>
      <c r="H39" s="19">
        <v>0.0594</v>
      </c>
      <c r="I39" s="19">
        <v>0.0582</v>
      </c>
      <c r="J39" s="19">
        <v>0.0571</v>
      </c>
      <c r="K39" s="19">
        <v>0.0559</v>
      </c>
    </row>
    <row r="40" spans="1:11">
      <c r="A40" s="17">
        <v>1.4</v>
      </c>
      <c r="B40" s="19">
        <v>0.0808</v>
      </c>
      <c r="C40" s="19">
        <v>0.0793</v>
      </c>
      <c r="D40" s="19">
        <v>0.0778</v>
      </c>
      <c r="E40" s="19">
        <v>0.0764</v>
      </c>
      <c r="F40" s="19">
        <v>0.0749</v>
      </c>
      <c r="G40" s="19">
        <v>0.0735</v>
      </c>
      <c r="H40" s="19">
        <v>0.0721</v>
      </c>
      <c r="I40" s="19">
        <v>0.0708</v>
      </c>
      <c r="J40" s="19">
        <v>0.0694</v>
      </c>
      <c r="K40" s="19">
        <v>0.0681</v>
      </c>
    </row>
    <row r="41" spans="1:11">
      <c r="A41" s="17">
        <v>1.3</v>
      </c>
      <c r="B41" s="19">
        <v>0.0968</v>
      </c>
      <c r="C41" s="19">
        <v>0.0951</v>
      </c>
      <c r="D41" s="19">
        <v>0.0934</v>
      </c>
      <c r="E41" s="19">
        <v>0.0918</v>
      </c>
      <c r="F41" s="19">
        <v>0.0901</v>
      </c>
      <c r="G41" s="19">
        <v>0.0885</v>
      </c>
      <c r="H41" s="19">
        <v>0.0869</v>
      </c>
      <c r="I41" s="19">
        <v>0.0853</v>
      </c>
      <c r="J41" s="19">
        <v>0.0838</v>
      </c>
      <c r="K41" s="19">
        <v>0.0823</v>
      </c>
    </row>
    <row r="42" spans="1:11">
      <c r="A42" s="17">
        <v>1.2</v>
      </c>
      <c r="B42" s="19">
        <v>0.1151</v>
      </c>
      <c r="C42" s="19">
        <v>0.1131</v>
      </c>
      <c r="D42" s="19">
        <v>0.1112</v>
      </c>
      <c r="E42" s="19">
        <v>0.1093</v>
      </c>
      <c r="F42" s="19">
        <v>0.1075</v>
      </c>
      <c r="G42" s="19">
        <v>0.1056</v>
      </c>
      <c r="H42" s="19">
        <v>0.1038</v>
      </c>
      <c r="I42" s="19">
        <v>0.102</v>
      </c>
      <c r="J42" s="19">
        <v>0.1003</v>
      </c>
      <c r="K42" s="19">
        <v>0.0985</v>
      </c>
    </row>
    <row r="43" spans="1:11">
      <c r="A43" s="17">
        <v>1.1</v>
      </c>
      <c r="B43" s="19">
        <v>0.1357</v>
      </c>
      <c r="C43" s="19">
        <v>0.1335</v>
      </c>
      <c r="D43" s="19">
        <v>0.1314</v>
      </c>
      <c r="E43" s="19">
        <v>0.1292</v>
      </c>
      <c r="F43" s="19">
        <v>0.1271</v>
      </c>
      <c r="G43" s="19">
        <v>0.1251</v>
      </c>
      <c r="H43" s="19">
        <v>0.123</v>
      </c>
      <c r="I43" s="19">
        <v>0.121</v>
      </c>
      <c r="J43" s="19">
        <v>0.119</v>
      </c>
      <c r="K43" s="19">
        <v>0.117</v>
      </c>
    </row>
    <row r="44" spans="1:11">
      <c r="A44" s="17">
        <v>1</v>
      </c>
      <c r="B44" s="19">
        <v>0.1587</v>
      </c>
      <c r="C44" s="19">
        <v>0.1562</v>
      </c>
      <c r="D44" s="19">
        <v>0.1539</v>
      </c>
      <c r="E44" s="19">
        <v>0.1515</v>
      </c>
      <c r="F44" s="19">
        <v>0.1492</v>
      </c>
      <c r="G44" s="19">
        <v>0.1469</v>
      </c>
      <c r="H44" s="19">
        <v>0.1446</v>
      </c>
      <c r="I44" s="19">
        <v>0.1423</v>
      </c>
      <c r="J44" s="19">
        <v>0.1401</v>
      </c>
      <c r="K44" s="19">
        <v>0.1379</v>
      </c>
    </row>
    <row r="45" spans="1:11">
      <c r="A45" s="17">
        <v>0.9</v>
      </c>
      <c r="B45" s="19">
        <v>0.1841</v>
      </c>
      <c r="C45" s="19">
        <v>0.1814</v>
      </c>
      <c r="D45" s="19">
        <v>0.1788</v>
      </c>
      <c r="E45" s="19">
        <v>0.1762</v>
      </c>
      <c r="F45" s="19">
        <v>0.1736</v>
      </c>
      <c r="G45" s="19">
        <v>0.1711</v>
      </c>
      <c r="H45" s="19">
        <v>0.1685</v>
      </c>
      <c r="I45" s="19">
        <v>0.166</v>
      </c>
      <c r="J45" s="19">
        <v>0.1635</v>
      </c>
      <c r="K45" s="19">
        <v>0.1611</v>
      </c>
    </row>
    <row r="46" spans="1:11">
      <c r="A46" s="17">
        <v>0.8</v>
      </c>
      <c r="B46" s="19">
        <v>0.2119</v>
      </c>
      <c r="C46" s="19">
        <v>0.209</v>
      </c>
      <c r="D46" s="19">
        <v>0.2061</v>
      </c>
      <c r="E46" s="19">
        <v>0.2033</v>
      </c>
      <c r="F46" s="19">
        <v>0.2005</v>
      </c>
      <c r="G46" s="19">
        <v>0.1977</v>
      </c>
      <c r="H46" s="19">
        <v>0.1949</v>
      </c>
      <c r="I46" s="19">
        <v>0.1922</v>
      </c>
      <c r="J46" s="19">
        <v>0.1894</v>
      </c>
      <c r="K46" s="19">
        <v>0.1867</v>
      </c>
    </row>
    <row r="47" spans="1:11">
      <c r="A47" s="17">
        <v>0.7</v>
      </c>
      <c r="B47" s="19">
        <v>0.242</v>
      </c>
      <c r="C47" s="19">
        <v>0.2389</v>
      </c>
      <c r="D47" s="19">
        <v>0.2358</v>
      </c>
      <c r="E47" s="19">
        <v>0.2327</v>
      </c>
      <c r="F47" s="19">
        <v>0.2297</v>
      </c>
      <c r="G47" s="19">
        <v>0.2266</v>
      </c>
      <c r="H47" s="19">
        <v>0.2236</v>
      </c>
      <c r="I47" s="19">
        <v>0.2206</v>
      </c>
      <c r="J47" s="19">
        <v>0.2177</v>
      </c>
      <c r="K47" s="19">
        <v>0.2148</v>
      </c>
    </row>
    <row r="48" spans="1:11">
      <c r="A48" s="17">
        <v>0.6</v>
      </c>
      <c r="B48" s="19">
        <v>0.2743</v>
      </c>
      <c r="C48" s="19">
        <v>0.2709</v>
      </c>
      <c r="D48" s="19">
        <v>0.2676</v>
      </c>
      <c r="E48" s="19">
        <v>0.2643</v>
      </c>
      <c r="F48" s="19">
        <v>0.2611</v>
      </c>
      <c r="G48" s="19">
        <v>0.2578</v>
      </c>
      <c r="H48" s="19">
        <v>0.2546</v>
      </c>
      <c r="I48" s="19">
        <v>0.2514</v>
      </c>
      <c r="J48" s="19">
        <v>0.2483</v>
      </c>
      <c r="K48" s="19">
        <v>0.2451</v>
      </c>
    </row>
    <row r="49" spans="1:11">
      <c r="A49" s="17">
        <v>0.5</v>
      </c>
      <c r="B49" s="19">
        <v>0.3085</v>
      </c>
      <c r="C49" s="19">
        <v>0.305</v>
      </c>
      <c r="D49" s="19">
        <v>0.3015</v>
      </c>
      <c r="E49" s="19">
        <v>0.2981</v>
      </c>
      <c r="F49" s="19">
        <v>0.2946</v>
      </c>
      <c r="G49" s="19">
        <v>0.2912</v>
      </c>
      <c r="H49" s="19">
        <v>0.2877</v>
      </c>
      <c r="I49" s="19">
        <v>0.2843</v>
      </c>
      <c r="J49" s="19">
        <v>0.281</v>
      </c>
      <c r="K49" s="19">
        <v>0.2776</v>
      </c>
    </row>
    <row r="50" spans="1:11">
      <c r="A50" s="17">
        <v>0.4</v>
      </c>
      <c r="B50" s="19">
        <v>0.3446</v>
      </c>
      <c r="C50" s="19">
        <v>0.3409</v>
      </c>
      <c r="D50" s="19">
        <v>0.3372</v>
      </c>
      <c r="E50" s="19">
        <v>0.3336</v>
      </c>
      <c r="F50" s="19">
        <v>0.33</v>
      </c>
      <c r="G50" s="19">
        <v>0.3264</v>
      </c>
      <c r="H50" s="19">
        <v>0.3228</v>
      </c>
      <c r="I50" s="19">
        <v>0.3192</v>
      </c>
      <c r="J50" s="19">
        <v>0.3156</v>
      </c>
      <c r="K50" s="19">
        <v>0.3121</v>
      </c>
    </row>
    <row r="51" spans="1:11">
      <c r="A51" s="17">
        <v>0.3</v>
      </c>
      <c r="B51" s="19">
        <v>0.3821</v>
      </c>
      <c r="C51" s="19">
        <v>0.3783</v>
      </c>
      <c r="D51" s="19">
        <v>0.3745</v>
      </c>
      <c r="E51" s="19">
        <v>0.3707</v>
      </c>
      <c r="F51" s="19">
        <v>0.3669</v>
      </c>
      <c r="G51" s="19">
        <v>0.3632</v>
      </c>
      <c r="H51" s="19">
        <v>0.3594</v>
      </c>
      <c r="I51" s="19">
        <v>0.3557</v>
      </c>
      <c r="J51" s="19">
        <v>0.352</v>
      </c>
      <c r="K51" s="19">
        <v>0.3483</v>
      </c>
    </row>
    <row r="52" spans="1:11">
      <c r="A52" s="17">
        <v>0.2</v>
      </c>
      <c r="B52" s="19">
        <v>0.4207</v>
      </c>
      <c r="C52" s="19">
        <v>0.4168</v>
      </c>
      <c r="D52" s="19">
        <v>0.4129</v>
      </c>
      <c r="E52" s="19">
        <v>0.409</v>
      </c>
      <c r="F52" s="19">
        <v>0.4052</v>
      </c>
      <c r="G52" s="19">
        <v>0.4013</v>
      </c>
      <c r="H52" s="19">
        <v>0.3974</v>
      </c>
      <c r="I52" s="19">
        <v>0.3936</v>
      </c>
      <c r="J52" s="19">
        <v>0.3897</v>
      </c>
      <c r="K52" s="19">
        <v>0.3859</v>
      </c>
    </row>
    <row r="53" spans="1:11">
      <c r="A53" s="17">
        <v>0.1</v>
      </c>
      <c r="B53" s="19">
        <v>0.4602</v>
      </c>
      <c r="C53" s="19">
        <v>0.4562</v>
      </c>
      <c r="D53" s="19">
        <v>0.4522</v>
      </c>
      <c r="E53" s="19">
        <v>0.4483</v>
      </c>
      <c r="F53" s="19">
        <v>0.4443</v>
      </c>
      <c r="G53" s="19">
        <v>0.4404</v>
      </c>
      <c r="H53" s="19">
        <v>0.4364</v>
      </c>
      <c r="I53" s="19">
        <v>0.4325</v>
      </c>
      <c r="J53" s="19">
        <v>0.4286</v>
      </c>
      <c r="K53" s="19">
        <v>0.4247</v>
      </c>
    </row>
    <row r="54" spans="1:11">
      <c r="A54" s="17">
        <v>0</v>
      </c>
      <c r="B54" s="19">
        <v>0.5</v>
      </c>
      <c r="C54" s="19">
        <v>0.496</v>
      </c>
      <c r="D54" s="19">
        <v>0.492</v>
      </c>
      <c r="E54" s="19">
        <v>0.488</v>
      </c>
      <c r="F54" s="19">
        <v>0.484</v>
      </c>
      <c r="G54" s="19">
        <v>0.4801</v>
      </c>
      <c r="H54" s="19">
        <v>0.4761</v>
      </c>
      <c r="I54" s="19">
        <v>0.4721</v>
      </c>
      <c r="J54" s="19">
        <v>0.4681</v>
      </c>
      <c r="K54" s="19">
        <v>0.4641</v>
      </c>
    </row>
  </sheetData>
  <mergeCells count="1">
    <mergeCell ref="A1:K1"/>
  </mergeCells>
  <pageMargins left="0.75" right="0.75" top="1" bottom="1" header="0.5" footer="0.5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showGridLines="0" zoomScaleSheetLayoutView="60" workbookViewId="0">
      <selection activeCell="K19" sqref="K19"/>
    </sheetView>
  </sheetViews>
  <sheetFormatPr defaultColWidth="9.14285714285714" defaultRowHeight="17.6"/>
  <cols>
    <col min="1" max="11" width="8.75" customWidth="1"/>
  </cols>
  <sheetData>
    <row r="1" spans="1:11">
      <c r="A1" s="1"/>
      <c r="B1" s="2"/>
      <c r="C1" s="2"/>
      <c r="D1" s="3" t="s">
        <v>254</v>
      </c>
      <c r="E1" s="3"/>
      <c r="F1" s="3"/>
      <c r="G1" s="3"/>
      <c r="H1" s="3"/>
      <c r="I1" s="2"/>
      <c r="J1" s="2"/>
      <c r="K1" s="11"/>
    </row>
    <row r="2" spans="1:11">
      <c r="A2" s="4"/>
      <c r="B2" s="5"/>
      <c r="C2" s="5"/>
      <c r="D2" s="6"/>
      <c r="E2" s="6"/>
      <c r="F2" s="6"/>
      <c r="G2" s="6"/>
      <c r="H2" s="6"/>
      <c r="I2" s="5"/>
      <c r="J2" s="5"/>
      <c r="K2" s="12"/>
    </row>
    <row r="3" spans="1:11">
      <c r="A3" s="4"/>
      <c r="B3" s="5"/>
      <c r="C3" s="5"/>
      <c r="D3" s="5"/>
      <c r="E3" s="5"/>
      <c r="F3" s="5"/>
      <c r="G3" s="5"/>
      <c r="H3" s="5"/>
      <c r="I3" s="5"/>
      <c r="J3" s="5"/>
      <c r="K3" s="12"/>
    </row>
    <row r="4" spans="1:11">
      <c r="A4" s="4"/>
      <c r="B4" s="5"/>
      <c r="C4" s="5"/>
      <c r="D4" s="5"/>
      <c r="E4" s="5"/>
      <c r="F4" s="5"/>
      <c r="G4" s="5"/>
      <c r="H4" s="5"/>
      <c r="I4" s="5"/>
      <c r="J4" s="5"/>
      <c r="K4" s="12"/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12"/>
    </row>
    <row r="6" spans="1:11">
      <c r="A6" s="4"/>
      <c r="B6" s="5"/>
      <c r="C6" s="5"/>
      <c r="D6" s="5"/>
      <c r="E6" s="5"/>
      <c r="F6" s="5"/>
      <c r="G6" s="5"/>
      <c r="H6" s="5"/>
      <c r="I6" s="5"/>
      <c r="J6" s="5"/>
      <c r="K6" s="12"/>
    </row>
    <row r="7" spans="1:11">
      <c r="A7" s="4"/>
      <c r="B7" s="5"/>
      <c r="C7" s="5"/>
      <c r="D7" s="5"/>
      <c r="E7" s="5"/>
      <c r="F7" s="5"/>
      <c r="G7" s="5"/>
      <c r="H7" s="5"/>
      <c r="I7" s="5"/>
      <c r="J7" s="5"/>
      <c r="K7" s="12"/>
    </row>
    <row r="8" spans="1:11">
      <c r="A8" s="4"/>
      <c r="B8" s="5"/>
      <c r="C8" s="5"/>
      <c r="D8" s="5"/>
      <c r="E8" s="5"/>
      <c r="F8" s="5"/>
      <c r="G8" s="5"/>
      <c r="H8" s="5"/>
      <c r="I8" s="5"/>
      <c r="J8" s="5"/>
      <c r="K8" s="12"/>
    </row>
    <row r="9" spans="1:11">
      <c r="A9" s="4"/>
      <c r="B9" s="5"/>
      <c r="C9" s="7" t="s">
        <v>255</v>
      </c>
      <c r="D9" s="5"/>
      <c r="E9" s="5"/>
      <c r="F9" s="7" t="s">
        <v>255</v>
      </c>
      <c r="G9" s="7"/>
      <c r="H9" s="5"/>
      <c r="I9" s="5"/>
      <c r="J9" s="5"/>
      <c r="K9" s="12"/>
    </row>
    <row r="10" spans="1:11">
      <c r="A10" s="4"/>
      <c r="B10" s="5"/>
      <c r="C10" s="5"/>
      <c r="D10" s="5"/>
      <c r="E10" s="5"/>
      <c r="F10" s="5"/>
      <c r="G10" s="5"/>
      <c r="H10" s="5"/>
      <c r="I10" s="5"/>
      <c r="J10" s="5"/>
      <c r="K10" s="12"/>
    </row>
    <row r="11" spans="1:11">
      <c r="A11" s="4"/>
      <c r="B11" s="5"/>
      <c r="C11" s="5"/>
      <c r="D11" s="5"/>
      <c r="E11" s="5"/>
      <c r="F11" s="5"/>
      <c r="G11" s="5"/>
      <c r="H11" s="5"/>
      <c r="I11" s="5"/>
      <c r="J11" s="5"/>
      <c r="K11" s="12"/>
    </row>
    <row r="12" spans="1:11">
      <c r="A12" s="4"/>
      <c r="B12" s="5"/>
      <c r="C12" s="5"/>
      <c r="D12" s="5"/>
      <c r="E12" s="5"/>
      <c r="F12" s="5"/>
      <c r="G12" s="5"/>
      <c r="H12" s="5"/>
      <c r="I12" s="5"/>
      <c r="J12" s="5"/>
      <c r="K12" s="12"/>
    </row>
    <row r="13" spans="1:11">
      <c r="A13" s="4"/>
      <c r="B13" s="5"/>
      <c r="C13" s="5"/>
      <c r="D13" s="8" t="s">
        <v>256</v>
      </c>
      <c r="E13" s="5"/>
      <c r="F13" s="5"/>
      <c r="G13" s="5"/>
      <c r="H13" s="7" t="s">
        <v>256</v>
      </c>
      <c r="I13" s="7"/>
      <c r="J13" s="5"/>
      <c r="K13" s="12"/>
    </row>
    <row r="14" spans="1:11">
      <c r="A14" s="4"/>
      <c r="B14" s="5"/>
      <c r="C14" s="5"/>
      <c r="D14" s="5"/>
      <c r="E14" s="5"/>
      <c r="F14" s="5"/>
      <c r="G14" s="5"/>
      <c r="H14" s="5"/>
      <c r="I14" s="5"/>
      <c r="J14" s="5"/>
      <c r="K14" s="12"/>
    </row>
    <row r="15" spans="1:11">
      <c r="A15" s="4"/>
      <c r="B15" s="5" t="s">
        <v>256</v>
      </c>
      <c r="C15" s="5"/>
      <c r="D15" s="5"/>
      <c r="E15" s="5"/>
      <c r="F15" s="5"/>
      <c r="G15" s="5"/>
      <c r="H15" s="5"/>
      <c r="I15" s="5"/>
      <c r="J15" s="5"/>
      <c r="K15" s="12"/>
    </row>
    <row r="16" spans="1:11">
      <c r="A16" s="4"/>
      <c r="B16" s="5"/>
      <c r="C16" s="5"/>
      <c r="D16" s="5"/>
      <c r="E16" s="5"/>
      <c r="F16" s="5" t="s">
        <v>255</v>
      </c>
      <c r="G16" s="5"/>
      <c r="H16" s="5"/>
      <c r="I16" s="5"/>
      <c r="J16" s="7" t="s">
        <v>255</v>
      </c>
      <c r="K16" s="12"/>
    </row>
    <row r="17" spans="1:11">
      <c r="A17" s="4"/>
      <c r="B17" s="5"/>
      <c r="C17" s="5"/>
      <c r="D17" s="5"/>
      <c r="E17" s="5"/>
      <c r="F17" s="5"/>
      <c r="G17" s="5"/>
      <c r="H17" s="5"/>
      <c r="I17" s="5"/>
      <c r="J17" s="5"/>
      <c r="K17" s="12"/>
    </row>
    <row r="18" spans="1:11">
      <c r="A18" s="4"/>
      <c r="B18" s="5"/>
      <c r="C18" s="5"/>
      <c r="D18" s="5"/>
      <c r="E18" s="5"/>
      <c r="F18" s="5"/>
      <c r="G18" s="5"/>
      <c r="H18" s="5"/>
      <c r="I18" s="5"/>
      <c r="J18" s="5"/>
      <c r="K18" s="12"/>
    </row>
    <row r="19" spans="1:11">
      <c r="A19" s="4"/>
      <c r="B19" s="5"/>
      <c r="C19" s="5"/>
      <c r="D19" s="5"/>
      <c r="E19" s="5"/>
      <c r="F19" s="5"/>
      <c r="G19" s="5"/>
      <c r="H19" s="5"/>
      <c r="I19" s="5"/>
      <c r="J19" s="5"/>
      <c r="K19" s="12"/>
    </row>
    <row r="20" spans="1:11">
      <c r="A20" s="4"/>
      <c r="B20" s="5"/>
      <c r="C20" s="5"/>
      <c r="D20" s="8" t="s">
        <v>256</v>
      </c>
      <c r="E20" s="5"/>
      <c r="F20" s="5"/>
      <c r="G20" s="5"/>
      <c r="H20" s="7" t="s">
        <v>256</v>
      </c>
      <c r="I20" s="7"/>
      <c r="J20" s="5"/>
      <c r="K20" s="12"/>
    </row>
    <row r="21" spans="1:11">
      <c r="A21" s="4"/>
      <c r="B21" s="5"/>
      <c r="C21" s="5"/>
      <c r="D21" s="5"/>
      <c r="E21" s="5"/>
      <c r="F21" s="5"/>
      <c r="G21" s="5"/>
      <c r="H21" s="5"/>
      <c r="I21" s="5"/>
      <c r="J21" s="5"/>
      <c r="K21" s="12"/>
    </row>
    <row r="22" spans="1:11">
      <c r="A22" s="4"/>
      <c r="B22" s="5"/>
      <c r="C22" s="5"/>
      <c r="D22" s="5"/>
      <c r="E22" s="5"/>
      <c r="F22" s="5"/>
      <c r="G22" s="5"/>
      <c r="H22" s="5"/>
      <c r="I22" s="5"/>
      <c r="J22" s="5"/>
      <c r="K22" s="12"/>
    </row>
    <row r="23" spans="1:11">
      <c r="A23" s="4"/>
      <c r="B23" s="5"/>
      <c r="C23" s="5"/>
      <c r="D23" s="5"/>
      <c r="E23" s="5"/>
      <c r="F23" s="5"/>
      <c r="G23" s="5"/>
      <c r="H23" s="5"/>
      <c r="I23" s="5"/>
      <c r="J23" s="5"/>
      <c r="K23" s="12"/>
    </row>
    <row r="24" spans="1:11">
      <c r="A24" s="4"/>
      <c r="B24" s="5"/>
      <c r="C24" s="5"/>
      <c r="D24" s="8" t="s">
        <v>255</v>
      </c>
      <c r="E24" s="5"/>
      <c r="F24" s="5"/>
      <c r="G24" s="5"/>
      <c r="H24" s="8" t="s">
        <v>255</v>
      </c>
      <c r="I24" s="5"/>
      <c r="J24" s="5"/>
      <c r="K24" s="12"/>
    </row>
    <row r="25" spans="1:11">
      <c r="A25" s="4"/>
      <c r="B25" s="5"/>
      <c r="C25" s="5"/>
      <c r="D25" s="5"/>
      <c r="E25" s="5"/>
      <c r="F25" s="5"/>
      <c r="G25" s="5"/>
      <c r="H25" s="5"/>
      <c r="I25" s="5"/>
      <c r="J25" s="5"/>
      <c r="K25" s="12"/>
    </row>
    <row r="26" spans="1:11">
      <c r="A26" s="4"/>
      <c r="B26" s="5"/>
      <c r="C26" s="5"/>
      <c r="D26" s="5"/>
      <c r="E26" s="5"/>
      <c r="F26" s="5"/>
      <c r="G26" s="5"/>
      <c r="H26" s="5"/>
      <c r="I26" s="5"/>
      <c r="J26" s="5"/>
      <c r="K26" s="12"/>
    </row>
    <row r="27" spans="1:11">
      <c r="A27" s="4"/>
      <c r="B27" s="5"/>
      <c r="C27" s="5"/>
      <c r="D27" s="5"/>
      <c r="E27" s="5"/>
      <c r="F27" s="5"/>
      <c r="G27" s="5"/>
      <c r="H27" s="5"/>
      <c r="I27" s="5"/>
      <c r="J27" s="5"/>
      <c r="K27" s="12"/>
    </row>
    <row r="28" spans="1:11">
      <c r="A28" s="4"/>
      <c r="B28" s="5"/>
      <c r="C28" s="5"/>
      <c r="D28" s="5"/>
      <c r="E28" s="5"/>
      <c r="F28" s="8" t="s">
        <v>256</v>
      </c>
      <c r="G28" s="5"/>
      <c r="H28" s="5"/>
      <c r="I28" s="5"/>
      <c r="J28" s="5"/>
      <c r="K28" s="12"/>
    </row>
    <row r="29" spans="1:11">
      <c r="A29" s="4"/>
      <c r="B29" s="5"/>
      <c r="C29" s="5"/>
      <c r="D29" s="5"/>
      <c r="E29" s="5"/>
      <c r="F29" s="5"/>
      <c r="G29" s="5"/>
      <c r="H29" s="5"/>
      <c r="I29" s="5"/>
      <c r="J29" s="5"/>
      <c r="K29" s="12"/>
    </row>
    <row r="30" spans="1:11">
      <c r="A30" s="4"/>
      <c r="B30" s="5" t="s">
        <v>256</v>
      </c>
      <c r="C30" s="5"/>
      <c r="D30" s="5"/>
      <c r="E30" s="5"/>
      <c r="F30" s="5"/>
      <c r="G30" s="5"/>
      <c r="H30" s="5"/>
      <c r="I30" s="5"/>
      <c r="J30" s="5"/>
      <c r="K30" s="12"/>
    </row>
    <row r="31" spans="1:11">
      <c r="A31" s="4"/>
      <c r="B31" s="5"/>
      <c r="C31" s="5"/>
      <c r="D31" s="5"/>
      <c r="E31" s="5"/>
      <c r="F31" s="5"/>
      <c r="G31" s="5"/>
      <c r="H31" s="5"/>
      <c r="I31" s="5"/>
      <c r="J31" s="5"/>
      <c r="K31" s="12"/>
    </row>
    <row r="32" spans="1:11">
      <c r="A32" s="4"/>
      <c r="B32" s="5"/>
      <c r="C32" s="5"/>
      <c r="D32" s="5"/>
      <c r="E32" s="5"/>
      <c r="F32" s="5"/>
      <c r="G32" s="5"/>
      <c r="H32" s="8" t="s">
        <v>255</v>
      </c>
      <c r="I32" s="5"/>
      <c r="J32" s="5"/>
      <c r="K32" s="12"/>
    </row>
    <row r="33" spans="1:11">
      <c r="A33" s="4"/>
      <c r="B33" s="5"/>
      <c r="C33" s="5"/>
      <c r="D33" s="5"/>
      <c r="E33" s="5"/>
      <c r="F33" s="5"/>
      <c r="G33" s="5"/>
      <c r="H33" s="5"/>
      <c r="I33" s="5"/>
      <c r="J33" s="5"/>
      <c r="K33" s="12"/>
    </row>
    <row r="34" spans="1:11">
      <c r="A34" s="4"/>
      <c r="B34" s="5"/>
      <c r="C34" s="5"/>
      <c r="D34" s="5"/>
      <c r="E34" s="5"/>
      <c r="F34" s="5"/>
      <c r="G34" s="5"/>
      <c r="H34" s="5"/>
      <c r="I34" s="5"/>
      <c r="J34" s="5"/>
      <c r="K34" s="12"/>
    </row>
    <row r="35" spans="1:11">
      <c r="A35" s="4"/>
      <c r="B35" s="5"/>
      <c r="C35" s="5"/>
      <c r="D35" s="5"/>
      <c r="E35" s="5"/>
      <c r="F35" s="5"/>
      <c r="G35" s="5"/>
      <c r="H35" s="5"/>
      <c r="I35" s="5"/>
      <c r="J35" s="5"/>
      <c r="K35" s="12"/>
    </row>
    <row r="36" spans="1:11">
      <c r="A36" s="4"/>
      <c r="B36" s="5"/>
      <c r="C36" s="5"/>
      <c r="D36" s="5"/>
      <c r="E36" s="5"/>
      <c r="F36" s="8" t="s">
        <v>256</v>
      </c>
      <c r="G36" s="5"/>
      <c r="H36" s="5"/>
      <c r="I36" s="5"/>
      <c r="J36" s="5"/>
      <c r="K36" s="12"/>
    </row>
    <row r="37" spans="1:11">
      <c r="A37" s="4"/>
      <c r="B37" s="5"/>
      <c r="C37" s="5"/>
      <c r="D37" s="5"/>
      <c r="E37" s="5"/>
      <c r="F37" s="5"/>
      <c r="G37" s="5"/>
      <c r="H37" s="5"/>
      <c r="I37" s="5"/>
      <c r="J37" s="5"/>
      <c r="K37" s="12"/>
    </row>
    <row r="38" spans="1:11">
      <c r="A38" s="4"/>
      <c r="B38" s="5"/>
      <c r="C38" s="5"/>
      <c r="D38" s="5"/>
      <c r="E38" s="5"/>
      <c r="F38" s="5"/>
      <c r="G38" s="5"/>
      <c r="H38" s="5"/>
      <c r="I38" s="5"/>
      <c r="J38" s="5"/>
      <c r="K38" s="12"/>
    </row>
    <row r="39" spans="1:11">
      <c r="A39" s="4"/>
      <c r="B39" s="5"/>
      <c r="C39" s="5"/>
      <c r="D39" s="5"/>
      <c r="E39" s="5"/>
      <c r="F39" s="5"/>
      <c r="G39" s="5"/>
      <c r="H39" s="5"/>
      <c r="I39" s="5"/>
      <c r="J39" s="5"/>
      <c r="K39" s="12"/>
    </row>
    <row r="40" spans="1:11">
      <c r="A40" s="4"/>
      <c r="B40" s="5"/>
      <c r="C40" s="5"/>
      <c r="D40" s="5"/>
      <c r="E40" s="5"/>
      <c r="F40" s="5"/>
      <c r="G40" s="5"/>
      <c r="H40" s="8" t="s">
        <v>255</v>
      </c>
      <c r="I40" s="5"/>
      <c r="J40" s="5"/>
      <c r="K40" s="12"/>
    </row>
    <row r="41" spans="1:11">
      <c r="A41" s="4"/>
      <c r="B41" s="5"/>
      <c r="C41" s="5"/>
      <c r="D41" s="5"/>
      <c r="E41" s="5"/>
      <c r="F41" s="5"/>
      <c r="G41" s="5"/>
      <c r="H41" s="5"/>
      <c r="I41" s="5"/>
      <c r="J41" s="5"/>
      <c r="K41" s="12"/>
    </row>
    <row r="42" spans="1:11">
      <c r="A42" s="4"/>
      <c r="B42" s="5"/>
      <c r="C42" s="5"/>
      <c r="D42" s="5"/>
      <c r="E42" s="5"/>
      <c r="F42" s="5"/>
      <c r="G42" s="5"/>
      <c r="H42" s="5"/>
      <c r="I42" s="5"/>
      <c r="J42" s="5"/>
      <c r="K42" s="12"/>
    </row>
    <row r="43" spans="1:11">
      <c r="A43" s="4"/>
      <c r="B43" s="5"/>
      <c r="C43" s="5"/>
      <c r="D43" s="5"/>
      <c r="E43" s="5"/>
      <c r="F43" s="5"/>
      <c r="G43" s="5"/>
      <c r="H43" s="5"/>
      <c r="I43" s="5"/>
      <c r="J43" s="5"/>
      <c r="K43" s="12"/>
    </row>
    <row r="44" spans="1:11">
      <c r="A44" s="4"/>
      <c r="B44" s="5"/>
      <c r="C44" s="5"/>
      <c r="D44" s="5"/>
      <c r="E44" s="5"/>
      <c r="F44" s="8" t="s">
        <v>256</v>
      </c>
      <c r="G44" s="5"/>
      <c r="H44" s="5"/>
      <c r="I44" s="5"/>
      <c r="J44" s="5"/>
      <c r="K44" s="12"/>
    </row>
    <row r="45" spans="1:11">
      <c r="A45" s="4"/>
      <c r="B45" s="5"/>
      <c r="C45" s="5"/>
      <c r="D45" s="5"/>
      <c r="E45" s="5"/>
      <c r="F45" s="5"/>
      <c r="G45" s="5"/>
      <c r="H45" s="5"/>
      <c r="I45" s="5"/>
      <c r="J45" s="5"/>
      <c r="K45" s="12"/>
    </row>
    <row r="46" spans="1:11">
      <c r="A46" s="4"/>
      <c r="B46" s="5"/>
      <c r="C46" s="5"/>
      <c r="D46" s="5"/>
      <c r="E46" s="5"/>
      <c r="F46" s="5"/>
      <c r="G46" s="5"/>
      <c r="H46" s="5"/>
      <c r="I46" s="5"/>
      <c r="J46" s="5"/>
      <c r="K46" s="12"/>
    </row>
    <row r="47" spans="1:11">
      <c r="A47" s="4"/>
      <c r="B47" s="5"/>
      <c r="C47" s="5"/>
      <c r="D47" s="5"/>
      <c r="E47" s="5"/>
      <c r="F47" s="5"/>
      <c r="G47" s="5"/>
      <c r="H47" s="5"/>
      <c r="I47" s="5"/>
      <c r="J47" s="5"/>
      <c r="K47" s="12"/>
    </row>
    <row r="48" spans="1:11">
      <c r="A48" s="4"/>
      <c r="B48" s="5"/>
      <c r="C48" s="5"/>
      <c r="D48" s="5"/>
      <c r="E48" s="5"/>
      <c r="F48" s="5"/>
      <c r="G48" s="5"/>
      <c r="H48" s="5"/>
      <c r="I48" s="5"/>
      <c r="J48" s="5"/>
      <c r="K48" s="12"/>
    </row>
    <row r="49" spans="1:11">
      <c r="A49" s="4"/>
      <c r="B49" s="5"/>
      <c r="C49" s="5"/>
      <c r="D49" s="5"/>
      <c r="E49" s="5"/>
      <c r="F49" s="5"/>
      <c r="G49" s="5"/>
      <c r="H49" s="5"/>
      <c r="I49" s="5"/>
      <c r="J49" s="5"/>
      <c r="K49" s="12"/>
    </row>
    <row r="50" ht="18.35" spans="1:11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3"/>
    </row>
  </sheetData>
  <mergeCells count="4">
    <mergeCell ref="F9:G9"/>
    <mergeCell ref="H13:I13"/>
    <mergeCell ref="H20:I20"/>
    <mergeCell ref="D1:H2"/>
  </mergeCells>
  <printOptions horizontalCentered="1" verticalCentered="1"/>
  <pageMargins left="0.354330708661417" right="0.354330708661417" top="0.393700787401575" bottom="0.393700787401575" header="0.511811023622047" footer="0.511811023622047"/>
  <pageSetup paperSize="9" orientation="portrait" horizontalDpi="4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.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X-R</vt:lpstr>
      <vt:lpstr>CPK</vt:lpstr>
      <vt:lpstr>GASKET</vt:lpstr>
      <vt:lpstr>常数＆公式</vt:lpstr>
      <vt:lpstr>正態分佈</vt:lpstr>
      <vt:lpstr>選用程序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王林</cp:lastModifiedBy>
  <dcterms:created xsi:type="dcterms:W3CDTF">1998-07-23T11:30:00Z</dcterms:created>
  <cp:lastPrinted>2011-10-08T17:23:00Z</cp:lastPrinted>
  <dcterms:modified xsi:type="dcterms:W3CDTF">2026-04-04T12:21:03Z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EBBCDA163CC6698EAF91D069D0041DE8_43</vt:lpwstr>
  </property>
  <property fmtid="{D5CDD505-2E9C-101B-9397-08002B2CF9AE}" pid="3" name="KSOProductBuildVer">
    <vt:lpwstr>2052-6.11.0.8885</vt:lpwstr>
  </property>
</Properties>
</file>